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put" sheetId="1" state="visible" r:id="rId2"/>
    <sheet name="calc" sheetId="2" state="visible" r:id="rId3"/>
    <sheet name="elev  az" sheetId="3" state="visible" r:id="rId4"/>
    <sheet name="E o T" sheetId="4" state="visible" r:id="rId5"/>
    <sheet name="declin  dist" sheetId="5" state="visible" r:id="rId6"/>
    <sheet name="orbit" sheetId="6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<sst xmlns="http://schemas.openxmlformats.org/spreadsheetml/2006/main" count="68" uniqueCount="42">
  <si>
    <t xml:space="preserve">Date</t>
  </si>
  <si>
    <t xml:space="preserve">Month</t>
  </si>
  <si>
    <t xml:space="preserve">Year</t>
  </si>
  <si>
    <t xml:space="preserve">Lat.:</t>
  </si>
  <si>
    <t xml:space="preserve">Long.:</t>
  </si>
  <si>
    <t xml:space="preserve">days in month:</t>
  </si>
  <si>
    <t xml:space="preserve">J. Giesen</t>
  </si>
  <si>
    <t xml:space="preserve">GeoAstro.de/</t>
  </si>
  <si>
    <t xml:space="preserve">sunpos</t>
  </si>
  <si>
    <t xml:space="preserve">UT</t>
  </si>
  <si>
    <t xml:space="preserve">elev</t>
  </si>
  <si>
    <t xml:space="preserve">elevRefr</t>
  </si>
  <si>
    <t xml:space="preserve">az</t>
  </si>
  <si>
    <t xml:space="preserve">EoT/min</t>
  </si>
  <si>
    <t xml:space="preserve">JD</t>
  </si>
  <si>
    <t xml:space="preserve">T</t>
  </si>
  <si>
    <t xml:space="preserve">M</t>
  </si>
  <si>
    <t xml:space="preserve">L0</t>
  </si>
  <si>
    <t xml:space="preserve">DL</t>
  </si>
  <si>
    <t xml:space="preserve">L</t>
  </si>
  <si>
    <t xml:space="preserve">X</t>
  </si>
  <si>
    <t xml:space="preserve">Y</t>
  </si>
  <si>
    <t xml:space="preserve">Z</t>
  </si>
  <si>
    <t xml:space="preserve">R</t>
  </si>
  <si>
    <t xml:space="preserve">delta</t>
  </si>
  <si>
    <t xml:space="preserve">RA</t>
  </si>
  <si>
    <t xml:space="preserve">theta</t>
  </si>
  <si>
    <t xml:space="preserve">tau</t>
  </si>
  <si>
    <t xml:space="preserve">sin elev</t>
  </si>
  <si>
    <t xml:space="preserve">arctan2(2;1)</t>
  </si>
  <si>
    <t xml:space="preserve">Dist / AU</t>
  </si>
  <si>
    <t xml:space="preserve">Don‘t edit!</t>
  </si>
  <si>
    <t xml:space="preserve">PI()/180</t>
  </si>
  <si>
    <t xml:space="preserve">sunrise</t>
  </si>
  <si>
    <t xml:space="preserve">sunset</t>
  </si>
  <si>
    <t xml:space="preserve">3h 30min</t>
  </si>
  <si>
    <t xml:space="preserve">19h 4min</t>
  </si>
  <si>
    <t xml:space="preserve">h:min</t>
  </si>
  <si>
    <t xml:space="preserve">max?</t>
  </si>
  <si>
    <t xml:space="preserve">min?</t>
  </si>
  <si>
    <t xml:space="preserve">x</t>
  </si>
  <si>
    <t xml:space="preserve">y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</si>
</sst>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General"/>
    <numFmt numFmtId="166" formatCode="YYYY\-MM\-DD"/>
    <numFmt numFmtId="167" formatCode="#,##0.00"/>
    <numFmt numFmtId="168" formatCode="0.00"/>
    <numFmt numFmtId="169" formatCode="0.000"/>
    <numFmt numFmtId="170" formatCode="0.000000"/>
    <numFmt numFmtId="171" formatCode="0.0000"/>
    <numFmt numFmtId="172" formatCode="0.00000"/>
    <numFmt numFmtId="173" formatCode="#,##0"/>
    <numFmt numFmtId="174" formatCode="#,##0.000000"/>
    <numFmt numFmtId="175" formatCode="0"/>
    <numFmt numFmtId="176" formatCode="#.0"/>
    <numFmt numFmtId="177" formatCode="0,000"/>
  </numFmts>
  <fonts count="20">
    <font>
      <sz val="12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0"/>
    </font>
    <font>
      <b val="true"/>
      <sz val="12"/>
      <color rgb="FFFF0000"/>
      <name val="Arial"/>
      <family val="0"/>
    </font>
    <font>
      <sz val="10"/>
      <color rgb="FF000000"/>
      <name val="Arial"/>
      <family val="0"/>
    </font>
    <font>
      <b val="true"/>
      <sz val="12"/>
      <color rgb="FF000000"/>
      <name val="Arial"/>
      <family val="0"/>
    </font>
    <font>
      <sz val="12"/>
      <color rgb="FF0000FF"/>
      <name val="Arial"/>
      <family val="0"/>
    </font>
    <font>
      <b val="true"/>
      <sz val="12"/>
      <color rgb="FF0000FF"/>
      <name val="Arial"/>
      <family val="0"/>
    </font>
    <font>
      <sz val="12"/>
      <color rgb="FFFF0000"/>
      <name val="Arial"/>
      <family val="0"/>
    </font>
    <font>
      <sz val="9"/>
      <color rgb="FF000000"/>
      <name val="Arial"/>
      <family val="0"/>
    </font>
    <font>
      <sz val="13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 val="true"/>
      <sz val="11"/>
      <color rgb="FF000000"/>
      <name val="Calibri"/>
      <family val="2"/>
    </font>
    <font>
      <sz val="12"/>
      <color rgb="FFFFFFFF"/>
      <name val="Arial"/>
      <family val="0"/>
    </font>
    <font>
      <b val="true"/>
      <sz val="12"/>
      <color rgb="FFFFFFFF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Überschrif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elevation of the Sun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63849853225907"/>
          <c:y val="0.10640266469282"/>
          <c:w val="0.880707013927924"/>
          <c:h val="0.764526276831976"/>
        </c:manualLayout>
      </c:layout>
      <c:scatterChart>
        <c:scatterStyle val="line"/>
        <c:varyColors val="0"/>
        <c:ser>
          <c:idx val="0"/>
          <c:order val="0"/>
          <c:spPr>
            <a:noFill/>
            <a:ln w="180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numFmt formatCode="#.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calc!$F$2:$F$51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calc!$H$2:$H$51</c:f>
              <c:numCache>
                <c:formatCode>General</c:formatCode>
                <c:ptCount val="50"/>
                <c:pt idx="0">
                  <c:v>-19.7675340833854</c:v>
                </c:pt>
                <c:pt idx="1">
                  <c:v>-18.5517395874566</c:v>
                </c:pt>
                <c:pt idx="2">
                  <c:v>-16.7577210313851</c:v>
                </c:pt>
                <c:pt idx="3">
                  <c:v>-14.4315143726842</c:v>
                </c:pt>
                <c:pt idx="4">
                  <c:v>-11.6269651097857</c:v>
                </c:pt>
                <c:pt idx="5">
                  <c:v>-8.39618280665652</c:v>
                </c:pt>
                <c:pt idx="6">
                  <c:v>-4.65750022893568</c:v>
                </c:pt>
                <c:pt idx="7">
                  <c:v>-0.169854523748074</c:v>
                </c:pt>
                <c:pt idx="8">
                  <c:v>3.61815030533802</c:v>
                </c:pt>
                <c:pt idx="9">
                  <c:v>7.92042621819054</c:v>
                </c:pt>
                <c:pt idx="10">
                  <c:v>12.4512736358916</c:v>
                </c:pt>
                <c:pt idx="11">
                  <c:v>17.126395486201</c:v>
                </c:pt>
                <c:pt idx="12">
                  <c:v>21.8928339912936</c:v>
                </c:pt>
                <c:pt idx="13">
                  <c:v>26.7033984991735</c:v>
                </c:pt>
                <c:pt idx="14">
                  <c:v>31.509623310892</c:v>
                </c:pt>
                <c:pt idx="15">
                  <c:v>36.2572821943787</c:v>
                </c:pt>
                <c:pt idx="16">
                  <c:v>40.8816214884185</c:v>
                </c:pt>
                <c:pt idx="17">
                  <c:v>45.3013887130825</c:v>
                </c:pt>
                <c:pt idx="18">
                  <c:v>49.4114060259324</c:v>
                </c:pt>
                <c:pt idx="19">
                  <c:v>53.0746599999557</c:v>
                </c:pt>
                <c:pt idx="20">
                  <c:v>56.117875416055</c:v>
                </c:pt>
                <c:pt idx="21">
                  <c:v>58.3398668314364</c:v>
                </c:pt>
                <c:pt idx="22">
                  <c:v>59.5454636875405</c:v>
                </c:pt>
                <c:pt idx="23">
                  <c:v>59.6060408763346</c:v>
                </c:pt>
                <c:pt idx="24">
                  <c:v>58.5148007323077</c:v>
                </c:pt>
                <c:pt idx="25">
                  <c:v>56.3900630764101</c:v>
                </c:pt>
                <c:pt idx="26">
                  <c:v>53.4234011627856</c:v>
                </c:pt>
                <c:pt idx="27">
                  <c:v>49.8175669354362</c:v>
                </c:pt>
                <c:pt idx="28">
                  <c:v>45.7494789375484</c:v>
                </c:pt>
                <c:pt idx="29">
                  <c:v>41.3598370441261</c:v>
                </c:pt>
                <c:pt idx="30">
                  <c:v>36.7567798213924</c:v>
                </c:pt>
                <c:pt idx="31">
                  <c:v>32.0236981245287</c:v>
                </c:pt>
                <c:pt idx="32">
                  <c:v>27.2267894274496</c:v>
                </c:pt>
                <c:pt idx="33">
                  <c:v>22.4211773858171</c:v>
                </c:pt>
                <c:pt idx="34">
                  <c:v>17.6557646922686</c:v>
                </c:pt>
                <c:pt idx="35">
                  <c:v>12.9776484868657</c:v>
                </c:pt>
                <c:pt idx="36">
                  <c:v>8.43849406484674</c:v>
                </c:pt>
                <c:pt idx="37">
                  <c:v>4.11533373606033</c:v>
                </c:pt>
                <c:pt idx="38">
                  <c:v>0.249896564871013</c:v>
                </c:pt>
                <c:pt idx="39">
                  <c:v>-4.08207551267565</c:v>
                </c:pt>
                <c:pt idx="40">
                  <c:v>-7.9280891812933</c:v>
                </c:pt>
                <c:pt idx="41">
                  <c:v>-11.1865064553042</c:v>
                </c:pt>
                <c:pt idx="42">
                  <c:v>-14.0209283280871</c:v>
                </c:pt>
                <c:pt idx="43">
                  <c:v>-16.3822835301611</c:v>
                </c:pt>
                <c:pt idx="44">
                  <c:v>-18.2167437747798</c:v>
                </c:pt>
                <c:pt idx="45">
                  <c:v>-19.4777485956127</c:v>
                </c:pt>
                <c:pt idx="46">
                  <c:v>-20.1307655434461</c:v>
                </c:pt>
                <c:pt idx="47">
                  <c:v>-20.1570226520525</c:v>
                </c:pt>
                <c:pt idx="48">
                  <c:v>-19.5557301975193</c:v>
                </c:pt>
              </c:numCache>
            </c:numRef>
          </c:yVal>
          <c:smooth val="0"/>
        </c:ser>
        <c:axId val="72709732"/>
        <c:axId val="4917432"/>
      </c:scatterChart>
      <c:valAx>
        <c:axId val="72709732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0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84017238148773"/>
              <c:y val="0.458456698741673"/>
            </c:manualLayout>
          </c:layout>
          <c:overlay val="0"/>
          <c:spPr>
            <a:noFill/>
            <a:ln>
              <a:noFill/>
            </a:ln>
          </c:spPr>
        </c:title>
        <c:numFmt formatCode="#.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917432"/>
        <c:crosses val="autoZero"/>
        <c:crossBetween val="midCat"/>
        <c:majorUnit val="1"/>
      </c:valAx>
      <c:valAx>
        <c:axId val="4917432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#.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2709732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azimuth of the Sun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89523328280276"/>
          <c:y val="0.144141586219951"/>
          <c:w val="0.874515748694627"/>
          <c:h val="0.744841945864092"/>
        </c:manualLayout>
      </c:layout>
      <c:scatterChart>
        <c:scatterStyle val="line"/>
        <c:varyColors val="0"/>
        <c:ser>
          <c:idx val="0"/>
          <c:order val="0"/>
          <c:spPr>
            <a:noFill/>
            <a:ln w="180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numFmt formatCode="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calc!$F$2:$F$50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calc!$I$2:$I$50</c:f>
              <c:numCache>
                <c:formatCode>General</c:formatCode>
                <c:ptCount val="49"/>
                <c:pt idx="0">
                  <c:v>10.9033153832532</c:v>
                </c:pt>
                <c:pt idx="1">
                  <c:v>18.2680634574982</c:v>
                </c:pt>
                <c:pt idx="2">
                  <c:v>25.4353667829301</c:v>
                </c:pt>
                <c:pt idx="3">
                  <c:v>32.3560127970933</c:v>
                </c:pt>
                <c:pt idx="4">
                  <c:v>39.004204139751</c:v>
                </c:pt>
                <c:pt idx="5">
                  <c:v>45.3762955103073</c:v>
                </c:pt>
                <c:pt idx="6">
                  <c:v>51.4874660187218</c:v>
                </c:pt>
                <c:pt idx="7">
                  <c:v>57.3677789600879</c:v>
                </c:pt>
                <c:pt idx="8">
                  <c:v>63.0586927390862</c:v>
                </c:pt>
                <c:pt idx="9">
                  <c:v>68.6106089405836</c:v>
                </c:pt>
                <c:pt idx="10">
                  <c:v>74.0816891222615</c:v>
                </c:pt>
                <c:pt idx="11">
                  <c:v>79.5379896732567</c:v>
                </c:pt>
                <c:pt idx="12">
                  <c:v>85.0549109859364</c:v>
                </c:pt>
                <c:pt idx="13">
                  <c:v>90.7199818041864</c:v>
                </c:pt>
                <c:pt idx="14">
                  <c:v>96.6370262213653</c:v>
                </c:pt>
                <c:pt idx="15">
                  <c:v>102.931661906781</c:v>
                </c:pt>
                <c:pt idx="16">
                  <c:v>109.757617730484</c:v>
                </c:pt>
                <c:pt idx="17">
                  <c:v>117.301999458599</c:v>
                </c:pt>
                <c:pt idx="18">
                  <c:v>125.784316541261</c:v>
                </c:pt>
                <c:pt idx="19">
                  <c:v>135.437465019181</c:v>
                </c:pt>
                <c:pt idx="20">
                  <c:v>146.449907986756</c:v>
                </c:pt>
                <c:pt idx="21">
                  <c:v>158.849462434424</c:v>
                </c:pt>
                <c:pt idx="22">
                  <c:v>172.354168025068</c:v>
                </c:pt>
                <c:pt idx="23">
                  <c:v>186.3160865954</c:v>
                </c:pt>
                <c:pt idx="24">
                  <c:v>199.902975322862</c:v>
                </c:pt>
                <c:pt idx="25">
                  <c:v>212.435317052645</c:v>
                </c:pt>
                <c:pt idx="26">
                  <c:v>223.593137138353</c:v>
                </c:pt>
                <c:pt idx="27">
                  <c:v>233.379248312679</c:v>
                </c:pt>
                <c:pt idx="28">
                  <c:v>241.972056346051</c:v>
                </c:pt>
                <c:pt idx="29">
                  <c:v>249.603440545179</c:v>
                </c:pt>
                <c:pt idx="30">
                  <c:v>256.495601023102</c:v>
                </c:pt>
                <c:pt idx="31">
                  <c:v>262.8391640376</c:v>
                </c:pt>
                <c:pt idx="32">
                  <c:v>268.791048246803</c:v>
                </c:pt>
                <c:pt idx="33">
                  <c:v>274.479406627131</c:v>
                </c:pt>
                <c:pt idx="34">
                  <c:v>280.009951284624</c:v>
                </c:pt>
                <c:pt idx="35">
                  <c:v>285.471563320812</c:v>
                </c:pt>
                <c:pt idx="36">
                  <c:v>290.940590810718</c:v>
                </c:pt>
                <c:pt idx="37">
                  <c:v>296.48375948879</c:v>
                </c:pt>
                <c:pt idx="38">
                  <c:v>302.159743236247</c:v>
                </c:pt>
                <c:pt idx="39">
                  <c:v>308.01942194348</c:v>
                </c:pt>
                <c:pt idx="40">
                  <c:v>314.104828380865</c:v>
                </c:pt>
                <c:pt idx="41">
                  <c:v>320.446830886018</c:v>
                </c:pt>
                <c:pt idx="42">
                  <c:v>327.061766433925</c:v>
                </c:pt>
                <c:pt idx="43">
                  <c:v>333.94757420597</c:v>
                </c:pt>
                <c:pt idx="44">
                  <c:v>341.080442810353</c:v>
                </c:pt>
                <c:pt idx="45">
                  <c:v>348.413378272113</c:v>
                </c:pt>
                <c:pt idx="46">
                  <c:v>355.878107002732</c:v>
                </c:pt>
                <c:pt idx="47">
                  <c:v>3.39104566496903</c:v>
                </c:pt>
                <c:pt idx="48">
                  <c:v>10.8627270114851</c:v>
                </c:pt>
              </c:numCache>
            </c:numRef>
          </c:yVal>
          <c:smooth val="0"/>
        </c:ser>
        <c:axId val="45778180"/>
        <c:axId val="5970918"/>
      </c:scatterChart>
      <c:valAx>
        <c:axId val="45778180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0" sz="12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20167312335074"/>
              <c:y val="0.75231875828128"/>
            </c:manualLayout>
          </c:layout>
          <c:overlay val="0"/>
          <c:spPr>
            <a:noFill/>
            <a:ln>
              <a:noFill/>
            </a:ln>
          </c:spPr>
        </c:title>
        <c:numFmt formatCode="#.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970918"/>
        <c:crosses val="autoZero"/>
        <c:crossBetween val="midCat"/>
        <c:majorUnit val="1"/>
      </c:valAx>
      <c:valAx>
        <c:axId val="5970918"/>
        <c:scaling>
          <c:orientation val="minMax"/>
          <c:max val="360"/>
          <c:min val="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5778180"/>
        <c:crosses val="autoZero"/>
        <c:crossBetween val="midCat"/>
        <c:majorUnit val="30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Diurnal Motion of the Sun</a:t>
            </a:r>
          </a:p>
        </c:rich>
      </c:tx>
      <c:layout>
        <c:manualLayout>
          <c:xMode val="edge"/>
          <c:yMode val="edge"/>
          <c:x val="0.353471147468494"/>
          <c:y val="0.0136450179818066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54477116957771"/>
          <c:y val="0.0944573725407235"/>
          <c:w val="0.880333849215123"/>
          <c:h val="0.762217050983711"/>
        </c:manualLayout>
      </c:layout>
      <c:scatterChart>
        <c:scatterStyle val="lineMarker"/>
        <c:varyColors val="0"/>
        <c:ser>
          <c:idx val="0"/>
          <c:order val="0"/>
          <c:spPr>
            <a:noFill/>
            <a:ln>
              <a:noFill/>
            </a:ln>
          </c:spPr>
          <c:marker>
            <c:symbol val="circle"/>
            <c:size val="4"/>
            <c:spPr>
              <a:solidFill>
                <a:srgbClr val="99ccff"/>
              </a:solidFill>
            </c:spPr>
          </c:marker>
          <c:dLbls>
            <c:numFmt formatCode="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calc!$I$2:$I$49</c:f>
              <c:numCache>
                <c:formatCode>General</c:formatCode>
                <c:ptCount val="48"/>
                <c:pt idx="0">
                  <c:v>10.9033153832532</c:v>
                </c:pt>
                <c:pt idx="1">
                  <c:v>18.2680634574982</c:v>
                </c:pt>
                <c:pt idx="2">
                  <c:v>25.4353667829301</c:v>
                </c:pt>
                <c:pt idx="3">
                  <c:v>32.3560127970933</c:v>
                </c:pt>
                <c:pt idx="4">
                  <c:v>39.004204139751</c:v>
                </c:pt>
                <c:pt idx="5">
                  <c:v>45.3762955103073</c:v>
                </c:pt>
                <c:pt idx="6">
                  <c:v>51.4874660187218</c:v>
                </c:pt>
                <c:pt idx="7">
                  <c:v>57.3677789600879</c:v>
                </c:pt>
                <c:pt idx="8">
                  <c:v>63.0586927390862</c:v>
                </c:pt>
                <c:pt idx="9">
                  <c:v>68.6106089405836</c:v>
                </c:pt>
                <c:pt idx="10">
                  <c:v>74.0816891222615</c:v>
                </c:pt>
                <c:pt idx="11">
                  <c:v>79.5379896732567</c:v>
                </c:pt>
                <c:pt idx="12">
                  <c:v>85.0549109859364</c:v>
                </c:pt>
                <c:pt idx="13">
                  <c:v>90.7199818041864</c:v>
                </c:pt>
                <c:pt idx="14">
                  <c:v>96.6370262213653</c:v>
                </c:pt>
                <c:pt idx="15">
                  <c:v>102.931661906781</c:v>
                </c:pt>
                <c:pt idx="16">
                  <c:v>109.757617730484</c:v>
                </c:pt>
                <c:pt idx="17">
                  <c:v>117.301999458599</c:v>
                </c:pt>
                <c:pt idx="18">
                  <c:v>125.784316541261</c:v>
                </c:pt>
                <c:pt idx="19">
                  <c:v>135.437465019181</c:v>
                </c:pt>
                <c:pt idx="20">
                  <c:v>146.449907986756</c:v>
                </c:pt>
                <c:pt idx="21">
                  <c:v>158.849462434424</c:v>
                </c:pt>
                <c:pt idx="22">
                  <c:v>172.354168025068</c:v>
                </c:pt>
                <c:pt idx="23">
                  <c:v>186.3160865954</c:v>
                </c:pt>
                <c:pt idx="24">
                  <c:v>199.902975322862</c:v>
                </c:pt>
                <c:pt idx="25">
                  <c:v>212.435317052645</c:v>
                </c:pt>
                <c:pt idx="26">
                  <c:v>223.593137138353</c:v>
                </c:pt>
                <c:pt idx="27">
                  <c:v>233.379248312679</c:v>
                </c:pt>
                <c:pt idx="28">
                  <c:v>241.972056346051</c:v>
                </c:pt>
                <c:pt idx="29">
                  <c:v>249.603440545179</c:v>
                </c:pt>
                <c:pt idx="30">
                  <c:v>256.495601023102</c:v>
                </c:pt>
                <c:pt idx="31">
                  <c:v>262.8391640376</c:v>
                </c:pt>
                <c:pt idx="32">
                  <c:v>268.791048246803</c:v>
                </c:pt>
                <c:pt idx="33">
                  <c:v>274.479406627131</c:v>
                </c:pt>
                <c:pt idx="34">
                  <c:v>280.009951284624</c:v>
                </c:pt>
                <c:pt idx="35">
                  <c:v>285.471563320812</c:v>
                </c:pt>
                <c:pt idx="36">
                  <c:v>290.940590810718</c:v>
                </c:pt>
                <c:pt idx="37">
                  <c:v>296.48375948879</c:v>
                </c:pt>
                <c:pt idx="38">
                  <c:v>302.159743236247</c:v>
                </c:pt>
                <c:pt idx="39">
                  <c:v>308.01942194348</c:v>
                </c:pt>
                <c:pt idx="40">
                  <c:v>314.104828380865</c:v>
                </c:pt>
                <c:pt idx="41">
                  <c:v>320.446830886018</c:v>
                </c:pt>
                <c:pt idx="42">
                  <c:v>327.061766433925</c:v>
                </c:pt>
                <c:pt idx="43">
                  <c:v>333.94757420597</c:v>
                </c:pt>
                <c:pt idx="44">
                  <c:v>341.080442810353</c:v>
                </c:pt>
                <c:pt idx="45">
                  <c:v>348.413378272113</c:v>
                </c:pt>
                <c:pt idx="46">
                  <c:v>355.878107002732</c:v>
                </c:pt>
                <c:pt idx="47">
                  <c:v>3.39104566496903</c:v>
                </c:pt>
              </c:numCache>
            </c:numRef>
          </c:xVal>
          <c:yVal>
            <c:numRef>
              <c:f>calc!$H$2:$H$49</c:f>
              <c:numCache>
                <c:formatCode>General</c:formatCode>
                <c:ptCount val="48"/>
                <c:pt idx="0">
                  <c:v>-19.7675340833854</c:v>
                </c:pt>
                <c:pt idx="1">
                  <c:v>-18.5517395874566</c:v>
                </c:pt>
                <c:pt idx="2">
                  <c:v>-16.7577210313851</c:v>
                </c:pt>
                <c:pt idx="3">
                  <c:v>-14.4315143726842</c:v>
                </c:pt>
                <c:pt idx="4">
                  <c:v>-11.6269651097857</c:v>
                </c:pt>
                <c:pt idx="5">
                  <c:v>-8.39618280665652</c:v>
                </c:pt>
                <c:pt idx="6">
                  <c:v>-4.65750022893568</c:v>
                </c:pt>
                <c:pt idx="7">
                  <c:v>-0.169854523748074</c:v>
                </c:pt>
                <c:pt idx="8">
                  <c:v>3.61815030533802</c:v>
                </c:pt>
                <c:pt idx="9">
                  <c:v>7.92042621819054</c:v>
                </c:pt>
                <c:pt idx="10">
                  <c:v>12.4512736358916</c:v>
                </c:pt>
                <c:pt idx="11">
                  <c:v>17.126395486201</c:v>
                </c:pt>
                <c:pt idx="12">
                  <c:v>21.8928339912936</c:v>
                </c:pt>
                <c:pt idx="13">
                  <c:v>26.7033984991735</c:v>
                </c:pt>
                <c:pt idx="14">
                  <c:v>31.509623310892</c:v>
                </c:pt>
                <c:pt idx="15">
                  <c:v>36.2572821943787</c:v>
                </c:pt>
                <c:pt idx="16">
                  <c:v>40.8816214884185</c:v>
                </c:pt>
                <c:pt idx="17">
                  <c:v>45.3013887130825</c:v>
                </c:pt>
                <c:pt idx="18">
                  <c:v>49.4114060259324</c:v>
                </c:pt>
                <c:pt idx="19">
                  <c:v>53.0746599999557</c:v>
                </c:pt>
                <c:pt idx="20">
                  <c:v>56.117875416055</c:v>
                </c:pt>
                <c:pt idx="21">
                  <c:v>58.3398668314364</c:v>
                </c:pt>
                <c:pt idx="22">
                  <c:v>59.5454636875405</c:v>
                </c:pt>
                <c:pt idx="23">
                  <c:v>59.6060408763346</c:v>
                </c:pt>
                <c:pt idx="24">
                  <c:v>58.5148007323077</c:v>
                </c:pt>
                <c:pt idx="25">
                  <c:v>56.3900630764101</c:v>
                </c:pt>
                <c:pt idx="26">
                  <c:v>53.4234011627856</c:v>
                </c:pt>
                <c:pt idx="27">
                  <c:v>49.8175669354362</c:v>
                </c:pt>
                <c:pt idx="28">
                  <c:v>45.7494789375484</c:v>
                </c:pt>
                <c:pt idx="29">
                  <c:v>41.3598370441261</c:v>
                </c:pt>
                <c:pt idx="30">
                  <c:v>36.7567798213924</c:v>
                </c:pt>
                <c:pt idx="31">
                  <c:v>32.0236981245287</c:v>
                </c:pt>
                <c:pt idx="32">
                  <c:v>27.2267894274496</c:v>
                </c:pt>
                <c:pt idx="33">
                  <c:v>22.4211773858171</c:v>
                </c:pt>
                <c:pt idx="34">
                  <c:v>17.6557646922686</c:v>
                </c:pt>
                <c:pt idx="35">
                  <c:v>12.9776484868657</c:v>
                </c:pt>
                <c:pt idx="36">
                  <c:v>8.43849406484674</c:v>
                </c:pt>
                <c:pt idx="37">
                  <c:v>4.11533373606033</c:v>
                </c:pt>
                <c:pt idx="38">
                  <c:v>0.249896564871013</c:v>
                </c:pt>
                <c:pt idx="39">
                  <c:v>-4.08207551267565</c:v>
                </c:pt>
                <c:pt idx="40">
                  <c:v>-7.9280891812933</c:v>
                </c:pt>
                <c:pt idx="41">
                  <c:v>-11.1865064553042</c:v>
                </c:pt>
                <c:pt idx="42">
                  <c:v>-14.0209283280871</c:v>
                </c:pt>
                <c:pt idx="43">
                  <c:v>-16.3822835301611</c:v>
                </c:pt>
                <c:pt idx="44">
                  <c:v>-18.2167437747798</c:v>
                </c:pt>
                <c:pt idx="45">
                  <c:v>-19.4777485956127</c:v>
                </c:pt>
                <c:pt idx="46">
                  <c:v>-20.1307655434461</c:v>
                </c:pt>
                <c:pt idx="47">
                  <c:v>-20.1570226520525</c:v>
                </c:pt>
              </c:numCache>
            </c:numRef>
          </c:yVal>
          <c:smooth val="0"/>
        </c:ser>
        <c:axId val="40554124"/>
        <c:axId val="73134334"/>
      </c:scatterChart>
      <c:valAx>
        <c:axId val="40554124"/>
        <c:scaling>
          <c:orientation val="minMax"/>
          <c:max val="360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0" sz="1100" spc="-1" strike="noStrike">
                    <a:solidFill>
                      <a:srgbClr val="000000"/>
                    </a:solidFill>
                    <a:latin typeface="Calibri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895368118505417"/>
              <c:y val="0.587581975883224"/>
            </c:manualLayout>
          </c:layout>
          <c:overlay val="0"/>
          <c:spPr>
            <a:noFill/>
            <a:ln>
              <a:noFill/>
            </a:ln>
          </c:spPr>
        </c:title>
        <c:numFmt formatCode="#.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3134334"/>
        <c:crosses val="autoZero"/>
        <c:crossBetween val="midCat"/>
        <c:majorUnit val="15"/>
      </c:valAx>
      <c:valAx>
        <c:axId val="73134334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0" sz="1100" spc="-1" strike="noStrike">
                    <a:solidFill>
                      <a:srgbClr val="000000"/>
                    </a:solidFill>
                    <a:latin typeface="Calibri"/>
                  </a:rPr>
                  <a:t>elev</a:t>
                </a:r>
              </a:p>
            </c:rich>
          </c:tx>
          <c:layout>
            <c:manualLayout>
              <c:xMode val="edge"/>
              <c:yMode val="edge"/>
              <c:x val="0.092803449038249"/>
              <c:y val="0.125449545166067"/>
            </c:manualLayout>
          </c:layout>
          <c:overlay val="0"/>
          <c:spPr>
            <a:noFill/>
            <a:ln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0554124"/>
        <c:crosses val="autoZero"/>
        <c:crossBetween val="midCat"/>
        <c:majorUnit val="15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Equation of Time (min)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52286190832231"/>
          <c:y val="0.133615260032392"/>
          <c:w val="0.862598493127049"/>
          <c:h val="0.728720532661508"/>
        </c:manualLayout>
      </c:layout>
      <c:scatterChart>
        <c:scatterStyle val="line"/>
        <c:varyColors val="0"/>
        <c:ser>
          <c:idx val="0"/>
          <c:order val="0"/>
          <c:spPr>
            <a:noFill/>
            <a:ln w="180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numFmt formatCode="0.0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calc!$F$2:$F$50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calc!$J$2:$J$50</c:f>
              <c:numCache>
                <c:formatCode>General</c:formatCode>
                <c:ptCount val="49"/>
                <c:pt idx="0">
                  <c:v>3.5836286431288</c:v>
                </c:pt>
                <c:pt idx="1">
                  <c:v>3.58278880540229</c:v>
                </c:pt>
                <c:pt idx="2">
                  <c:v>3.58194497372256</c:v>
                </c:pt>
                <c:pt idx="3">
                  <c:v>3.58109714893078</c:v>
                </c:pt>
                <c:pt idx="4">
                  <c:v>3.58024533192705</c:v>
                </c:pt>
                <c:pt idx="5">
                  <c:v>3.57938952361425</c:v>
                </c:pt>
                <c:pt idx="6">
                  <c:v>3.57852972484065</c:v>
                </c:pt>
                <c:pt idx="7">
                  <c:v>3.57766593651448</c:v>
                </c:pt>
                <c:pt idx="8">
                  <c:v>3.5767981595466</c:v>
                </c:pt>
                <c:pt idx="9">
                  <c:v>3.5759263947923</c:v>
                </c:pt>
                <c:pt idx="10">
                  <c:v>3.57505064316751</c:v>
                </c:pt>
                <c:pt idx="11">
                  <c:v>3.57417090559127</c:v>
                </c:pt>
                <c:pt idx="12">
                  <c:v>3.57328718292604</c:v>
                </c:pt>
                <c:pt idx="13">
                  <c:v>3.5723994760954</c:v>
                </c:pt>
                <c:pt idx="14">
                  <c:v>3.5715077860265</c:v>
                </c:pt>
                <c:pt idx="15">
                  <c:v>3.57061211358874</c:v>
                </c:pt>
                <c:pt idx="16">
                  <c:v>3.569712459714</c:v>
                </c:pt>
                <c:pt idx="17">
                  <c:v>3.56880882533702</c:v>
                </c:pt>
                <c:pt idx="18">
                  <c:v>3.56790121133446</c:v>
                </c:pt>
                <c:pt idx="19">
                  <c:v>3.56698961864603</c:v>
                </c:pt>
                <c:pt idx="20">
                  <c:v>3.56607404821435</c:v>
                </c:pt>
                <c:pt idx="21">
                  <c:v>3.56515450092348</c:v>
                </c:pt>
                <c:pt idx="22">
                  <c:v>3.56423097772083</c:v>
                </c:pt>
                <c:pt idx="23">
                  <c:v>3.56330347955699</c:v>
                </c:pt>
                <c:pt idx="24">
                  <c:v>3.56237200732292</c:v>
                </c:pt>
                <c:pt idx="25">
                  <c:v>3.56143656197435</c:v>
                </c:pt>
                <c:pt idx="26">
                  <c:v>3.56049714446956</c:v>
                </c:pt>
                <c:pt idx="27">
                  <c:v>3.55955375570673</c:v>
                </c:pt>
                <c:pt idx="28">
                  <c:v>3.55860639664942</c:v>
                </c:pt>
                <c:pt idx="29">
                  <c:v>3.55765506826387</c:v>
                </c:pt>
                <c:pt idx="30">
                  <c:v>3.55669977145538</c:v>
                </c:pt>
                <c:pt idx="31">
                  <c:v>3.55574050719542</c:v>
                </c:pt>
                <c:pt idx="32">
                  <c:v>3.55477727645825</c:v>
                </c:pt>
                <c:pt idx="33">
                  <c:v>3.55381008015615</c:v>
                </c:pt>
                <c:pt idx="34">
                  <c:v>3.55283891926845</c:v>
                </c:pt>
                <c:pt idx="35">
                  <c:v>3.55186379477769</c:v>
                </c:pt>
                <c:pt idx="36">
                  <c:v>3.55088470760299</c:v>
                </c:pt>
                <c:pt idx="37">
                  <c:v>3.54990165873173</c:v>
                </c:pt>
                <c:pt idx="38">
                  <c:v>3.54891464915414</c:v>
                </c:pt>
                <c:pt idx="39">
                  <c:v>3.5479236797967</c:v>
                </c:pt>
                <c:pt idx="40">
                  <c:v>3.54692875165478</c:v>
                </c:pt>
                <c:pt idx="41">
                  <c:v>3.54592986572615</c:v>
                </c:pt>
                <c:pt idx="42">
                  <c:v>3.54492702294482</c:v>
                </c:pt>
                <c:pt idx="43">
                  <c:v>3.54392022431378</c:v>
                </c:pt>
                <c:pt idx="44">
                  <c:v>3.54290947083911</c:v>
                </c:pt>
                <c:pt idx="45">
                  <c:v>3.54189476346158</c:v>
                </c:pt>
                <c:pt idx="46">
                  <c:v>3.54087610319223</c:v>
                </c:pt>
                <c:pt idx="47">
                  <c:v>3.53985349104508</c:v>
                </c:pt>
                <c:pt idx="48">
                  <c:v>3.5388269279679</c:v>
                </c:pt>
              </c:numCache>
            </c:numRef>
          </c:yVal>
          <c:smooth val="0"/>
        </c:ser>
        <c:axId val="78235245"/>
        <c:axId val="46574427"/>
      </c:scatterChart>
      <c:valAx>
        <c:axId val="78235245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861563236901133"/>
              <c:y val="0.786395537160338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6574427"/>
        <c:crosses val="autoZero"/>
        <c:crossBetween val="midCat"/>
        <c:majorUnit val="3"/>
      </c:valAx>
      <c:valAx>
        <c:axId val="46574427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0.00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8235245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declination of the Sun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41404297851075"/>
          <c:y val="0.119437505782219"/>
          <c:w val="0.877998500749625"/>
          <c:h val="0.790729947266167"/>
        </c:manualLayout>
      </c:layout>
      <c:scatterChart>
        <c:scatterStyle val="line"/>
        <c:varyColors val="0"/>
        <c:ser>
          <c:idx val="0"/>
          <c:order val="0"/>
          <c:spPr>
            <a:noFill/>
            <a:ln w="180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numFmt formatCode="0.0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'declin  dist'!$D$2:$D$50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'declin  dist'!$E$2:$E$50</c:f>
              <c:numCache>
                <c:formatCode>General</c:formatCode>
                <c:ptCount val="49"/>
                <c:pt idx="0">
                  <c:v>19.6123271615258</c:v>
                </c:pt>
                <c:pt idx="1">
                  <c:v>19.6168728171354</c:v>
                </c:pt>
                <c:pt idx="2">
                  <c:v>19.6214160591534</c:v>
                </c:pt>
                <c:pt idx="3">
                  <c:v>19.6259568871268</c:v>
                </c:pt>
                <c:pt idx="4">
                  <c:v>19.6304953002979</c:v>
                </c:pt>
                <c:pt idx="5">
                  <c:v>19.6350312979099</c:v>
                </c:pt>
                <c:pt idx="6">
                  <c:v>19.6395648795099</c:v>
                </c:pt>
                <c:pt idx="7">
                  <c:v>19.644096044341</c:v>
                </c:pt>
                <c:pt idx="8">
                  <c:v>19.6486247916474</c:v>
                </c:pt>
                <c:pt idx="9">
                  <c:v>19.6531511209765</c:v>
                </c:pt>
                <c:pt idx="10">
                  <c:v>19.6576750315728</c:v>
                </c:pt>
                <c:pt idx="11">
                  <c:v>19.6621965226807</c:v>
                </c:pt>
                <c:pt idx="12">
                  <c:v>19.6667155938487</c:v>
                </c:pt>
                <c:pt idx="13">
                  <c:v>19.6712322443219</c:v>
                </c:pt>
                <c:pt idx="14">
                  <c:v>19.6757464733458</c:v>
                </c:pt>
                <c:pt idx="15">
                  <c:v>19.6802582804691</c:v>
                </c:pt>
                <c:pt idx="16">
                  <c:v>19.6847676649379</c:v>
                </c:pt>
                <c:pt idx="17">
                  <c:v>19.6892746259988</c:v>
                </c:pt>
                <c:pt idx="18">
                  <c:v>19.6937791632006</c:v>
                </c:pt>
                <c:pt idx="19">
                  <c:v>19.6982812757905</c:v>
                </c:pt>
                <c:pt idx="20">
                  <c:v>19.7027809630163</c:v>
                </c:pt>
                <c:pt idx="21">
                  <c:v>19.7072782244268</c:v>
                </c:pt>
                <c:pt idx="22">
                  <c:v>19.7117730592704</c:v>
                </c:pt>
                <c:pt idx="23">
                  <c:v>19.7162654667954</c:v>
                </c:pt>
                <c:pt idx="24">
                  <c:v>19.7207554465517</c:v>
                </c:pt>
                <c:pt idx="25">
                  <c:v>19.7252429977884</c:v>
                </c:pt>
                <c:pt idx="26">
                  <c:v>19.7297281197544</c:v>
                </c:pt>
                <c:pt idx="27">
                  <c:v>19.7342108120005</c:v>
                </c:pt>
                <c:pt idx="28">
                  <c:v>19.7386910737762</c:v>
                </c:pt>
                <c:pt idx="29">
                  <c:v>19.743168904332</c:v>
                </c:pt>
                <c:pt idx="30">
                  <c:v>19.7476443032186</c:v>
                </c:pt>
                <c:pt idx="31">
                  <c:v>19.7521172696867</c:v>
                </c:pt>
                <c:pt idx="32">
                  <c:v>19.7565878029877</c:v>
                </c:pt>
                <c:pt idx="33">
                  <c:v>19.7610559026726</c:v>
                </c:pt>
                <c:pt idx="34">
                  <c:v>19.7655215679933</c:v>
                </c:pt>
                <c:pt idx="35">
                  <c:v>19.7699847982018</c:v>
                </c:pt>
                <c:pt idx="36">
                  <c:v>19.7744455928499</c:v>
                </c:pt>
                <c:pt idx="37">
                  <c:v>19.7789039511901</c:v>
                </c:pt>
                <c:pt idx="38">
                  <c:v>19.7833598724756</c:v>
                </c:pt>
                <c:pt idx="39">
                  <c:v>19.7878133562586</c:v>
                </c:pt>
                <c:pt idx="40">
                  <c:v>19.7922644017924</c:v>
                </c:pt>
                <c:pt idx="41">
                  <c:v>19.7967130083314</c:v>
                </c:pt>
                <c:pt idx="42">
                  <c:v>19.8011591754279</c:v>
                </c:pt>
                <c:pt idx="43">
                  <c:v>19.8056029023366</c:v>
                </c:pt>
                <c:pt idx="44">
                  <c:v>19.8100441883124</c:v>
                </c:pt>
                <c:pt idx="45">
                  <c:v>19.8144830329083</c:v>
                </c:pt>
                <c:pt idx="46">
                  <c:v>19.8189194353798</c:v>
                </c:pt>
                <c:pt idx="47">
                  <c:v>19.8233533949828</c:v>
                </c:pt>
                <c:pt idx="48">
                  <c:v>19.8277849112709</c:v>
                </c:pt>
              </c:numCache>
            </c:numRef>
          </c:yVal>
          <c:smooth val="0"/>
        </c:ser>
        <c:axId val="63129509"/>
        <c:axId val="1779318"/>
      </c:scatterChart>
      <c:valAx>
        <c:axId val="63129509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913855572213893"/>
              <c:y val="0.810250716995097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779318"/>
        <c:crosses val="autoZero"/>
        <c:crossBetween val="midCat"/>
        <c:majorUnit val="2"/>
      </c:valAx>
      <c:valAx>
        <c:axId val="1779318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delta</a:t>
                </a:r>
              </a:p>
            </c:rich>
          </c:tx>
          <c:layout>
            <c:manualLayout>
              <c:xMode val="edge"/>
              <c:yMode val="edge"/>
              <c:x val="0.104385307346327"/>
              <c:y val="0.125451013044685"/>
            </c:manualLayout>
          </c:layout>
          <c:overlay val="0"/>
          <c:spPr>
            <a:noFill/>
            <a:ln>
              <a:noFill/>
            </a:ln>
          </c:spPr>
        </c:title>
        <c:numFmt formatCode="0.0000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3129509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distance of the Sun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63610261532"/>
          <c:y val="0.136004568382983"/>
          <c:w val="0.791336371013045"/>
          <c:h val="0.747406490910821"/>
        </c:manualLayout>
      </c:layout>
      <c:scatterChart>
        <c:scatterStyle val="line"/>
        <c:varyColors val="0"/>
        <c:ser>
          <c:idx val="0"/>
          <c:order val="0"/>
          <c:spPr>
            <a:noFill/>
            <a:ln w="180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numFmt formatCode="0.00000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'declin  dist'!$D$2:$D$50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</c:numCache>
            </c:numRef>
          </c:xVal>
          <c:yVal>
            <c:numRef>
              <c:f>'declin  dist'!$H$2:$H$50</c:f>
              <c:numCache>
                <c:formatCode>General</c:formatCode>
                <c:ptCount val="49"/>
                <c:pt idx="0">
                  <c:v>1.01161944898025</c:v>
                </c:pt>
                <c:pt idx="1">
                  <c:v>1.01162357125382</c:v>
                </c:pt>
                <c:pt idx="2">
                  <c:v>1.01162769176419</c:v>
                </c:pt>
                <c:pt idx="3">
                  <c:v>1.01163181051409</c:v>
                </c:pt>
                <c:pt idx="4">
                  <c:v>1.01163592750598</c:v>
                </c:pt>
                <c:pt idx="5">
                  <c:v>1.01164004274233</c:v>
                </c:pt>
                <c:pt idx="6">
                  <c:v>1.01164415622587</c:v>
                </c:pt>
                <c:pt idx="7">
                  <c:v>1.01164826795909</c:v>
                </c:pt>
                <c:pt idx="8">
                  <c:v>1.01165237794446</c:v>
                </c:pt>
                <c:pt idx="9">
                  <c:v>1.01165648618474</c:v>
                </c:pt>
                <c:pt idx="10">
                  <c:v>1.01166059268243</c:v>
                </c:pt>
                <c:pt idx="11">
                  <c:v>1.01166469744002</c:v>
                </c:pt>
                <c:pt idx="12">
                  <c:v>1.01166880046028</c:v>
                </c:pt>
                <c:pt idx="13">
                  <c:v>1.01167290174572</c:v>
                </c:pt>
                <c:pt idx="14">
                  <c:v>1.01167700129885</c:v>
                </c:pt>
                <c:pt idx="15">
                  <c:v>1.01168109912247</c:v>
                </c:pt>
                <c:pt idx="16">
                  <c:v>1.01168519521908</c:v>
                </c:pt>
                <c:pt idx="17">
                  <c:v>1.01168928959121</c:v>
                </c:pt>
                <c:pt idx="18">
                  <c:v>1.01169338224167</c:v>
                </c:pt>
                <c:pt idx="19">
                  <c:v>1.01169747317298</c:v>
                </c:pt>
                <c:pt idx="20">
                  <c:v>1.01170156238769</c:v>
                </c:pt>
                <c:pt idx="21">
                  <c:v>1.01170564988861</c:v>
                </c:pt>
                <c:pt idx="22">
                  <c:v>1.01170973567828</c:v>
                </c:pt>
                <c:pt idx="23">
                  <c:v>1.01171381975924</c:v>
                </c:pt>
                <c:pt idx="24">
                  <c:v>1.01171790213434</c:v>
                </c:pt>
                <c:pt idx="25">
                  <c:v>1.01172198280611</c:v>
                </c:pt>
                <c:pt idx="26">
                  <c:v>1.01172606177712</c:v>
                </c:pt>
                <c:pt idx="27">
                  <c:v>1.01173013905021</c:v>
                </c:pt>
                <c:pt idx="28">
                  <c:v>1.01173421462794</c:v>
                </c:pt>
                <c:pt idx="29">
                  <c:v>1.01173828851287</c:v>
                </c:pt>
                <c:pt idx="30">
                  <c:v>1.01174236070786</c:v>
                </c:pt>
                <c:pt idx="31">
                  <c:v>1.01174643121547</c:v>
                </c:pt>
                <c:pt idx="32">
                  <c:v>1.0117505000383</c:v>
                </c:pt>
                <c:pt idx="33">
                  <c:v>1.01175456717917</c:v>
                </c:pt>
                <c:pt idx="34">
                  <c:v>1.01175863264069</c:v>
                </c:pt>
                <c:pt idx="35">
                  <c:v>1.01176269642544</c:v>
                </c:pt>
                <c:pt idx="36">
                  <c:v>1.01176675853627</c:v>
                </c:pt>
                <c:pt idx="37">
                  <c:v>1.01177081897578</c:v>
                </c:pt>
                <c:pt idx="38">
                  <c:v>1.01177487774656</c:v>
                </c:pt>
                <c:pt idx="39">
                  <c:v>1.01177893485148</c:v>
                </c:pt>
                <c:pt idx="40">
                  <c:v>1.01178299029312</c:v>
                </c:pt>
                <c:pt idx="41">
                  <c:v>1.0117870440741</c:v>
                </c:pt>
                <c:pt idx="42">
                  <c:v>1.01179109619728</c:v>
                </c:pt>
                <c:pt idx="43">
                  <c:v>1.01179514666527</c:v>
                </c:pt>
                <c:pt idx="44">
                  <c:v>1.01179919548066</c:v>
                </c:pt>
                <c:pt idx="45">
                  <c:v>1.01180324264635</c:v>
                </c:pt>
                <c:pt idx="46">
                  <c:v>1.01180728816492</c:v>
                </c:pt>
                <c:pt idx="47">
                  <c:v>1.01181133203899</c:v>
                </c:pt>
                <c:pt idx="48">
                  <c:v>1.01181537427144</c:v>
                </c:pt>
              </c:numCache>
            </c:numRef>
          </c:yVal>
          <c:smooth val="0"/>
        </c:ser>
        <c:axId val="55639105"/>
        <c:axId val="89979536"/>
      </c:scatterChart>
      <c:valAx>
        <c:axId val="55639105"/>
        <c:scaling>
          <c:orientation val="minMax"/>
          <c:max val="24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UT</a:t>
                </a:r>
              </a:p>
            </c:rich>
          </c:tx>
          <c:layout>
            <c:manualLayout>
              <c:xMode val="edge"/>
              <c:yMode val="edge"/>
              <c:x val="0.797952687098184"/>
              <c:y val="0.81812125249833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9979536"/>
        <c:crosses val="autoZero"/>
        <c:crossBetween val="midCat"/>
        <c:majorUnit val="2"/>
      </c:valAx>
      <c:valAx>
        <c:axId val="89979536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AU</a:t>
                </a:r>
              </a:p>
            </c:rich>
          </c:tx>
          <c:layout>
            <c:manualLayout>
              <c:xMode val="edge"/>
              <c:yMode val="edge"/>
              <c:x val="0.143187066974596"/>
              <c:y val="0.15798991148758"/>
            </c:manualLayout>
          </c:layout>
          <c:overlay val="0"/>
          <c:spPr>
            <a:noFill/>
            <a:ln>
              <a:noFill/>
            </a:ln>
          </c:spPr>
        </c:title>
        <c:numFmt formatCode="0.000000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5639105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200" spc="-1" strike="noStrike">
                <a:solidFill>
                  <a:srgbClr val="000000"/>
                </a:solidFill>
                <a:latin typeface="Calibri"/>
              </a:rPr>
              <a:t>ecliptic position</a:t>
            </a:r>
          </a:p>
        </c:rich>
      </c:tx>
      <c:layout>
        <c:manualLayout>
          <c:xMode val="edge"/>
          <c:yMode val="edge"/>
          <c:x val="0.40725932404573"/>
          <c:y val="0.00940920437816041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98488161429375"/>
          <c:y val="0.0791781348012546"/>
          <c:w val="0.874429936902605"/>
          <c:h val="0.895922678102797"/>
        </c:manualLayout>
      </c:layout>
      <c:scatterChart>
        <c:scatterStyle val="lineMarker"/>
        <c:varyColors val="0"/>
        <c:ser>
          <c:idx val="0"/>
          <c:order val="0"/>
          <c:spPr>
            <a:noFill/>
            <a:ln w="72000">
              <a:solidFill>
                <a:srgbClr val="ff0000"/>
              </a:solidFill>
              <a:round/>
            </a:ln>
          </c:spPr>
          <c:marker>
            <c:symbol val="circle"/>
            <c:size val="3"/>
            <c:spPr>
              <a:solidFill>
                <a:srgbClr val="ff0000"/>
              </a:solidFill>
            </c:spPr>
          </c:marker>
          <c:dLbls>
            <c:numFmt formatCode="0.00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orbit!$F$2:$F$50</c:f>
              <c:numCache>
                <c:formatCode>General</c:formatCode>
                <c:ptCount val="49"/>
                <c:pt idx="0">
                  <c:v>0.536679072873361</c:v>
                </c:pt>
                <c:pt idx="1">
                  <c:v>0.536383585685771</c:v>
                </c:pt>
                <c:pt idx="2">
                  <c:v>0.536088035225189</c:v>
                </c:pt>
                <c:pt idx="3">
                  <c:v>0.535792421515398</c:v>
                </c:pt>
                <c:pt idx="4">
                  <c:v>0.535496744600007</c:v>
                </c:pt>
                <c:pt idx="5">
                  <c:v>0.535201004522627</c:v>
                </c:pt>
                <c:pt idx="6">
                  <c:v>0.534905201307064</c:v>
                </c:pt>
                <c:pt idx="7">
                  <c:v>0.534609334996958</c:v>
                </c:pt>
                <c:pt idx="8">
                  <c:v>0.534313405635922</c:v>
                </c:pt>
                <c:pt idx="9">
                  <c:v>0.53401741324778</c:v>
                </c:pt>
                <c:pt idx="10">
                  <c:v>0.533721357876166</c:v>
                </c:pt>
                <c:pt idx="11">
                  <c:v>0.533425239564758</c:v>
                </c:pt>
                <c:pt idx="12">
                  <c:v>0.53312905833735</c:v>
                </c:pt>
                <c:pt idx="13">
                  <c:v>0.532832814237606</c:v>
                </c:pt>
                <c:pt idx="14">
                  <c:v>0.532536507309225</c:v>
                </c:pt>
                <c:pt idx="15">
                  <c:v>0.532240137575999</c:v>
                </c:pt>
                <c:pt idx="16">
                  <c:v>0.531943705081634</c:v>
                </c:pt>
                <c:pt idx="17">
                  <c:v>0.531647209869816</c:v>
                </c:pt>
                <c:pt idx="18">
                  <c:v>0.531350651964388</c:v>
                </c:pt>
                <c:pt idx="19">
                  <c:v>0.531054031409038</c:v>
                </c:pt>
                <c:pt idx="20">
                  <c:v>0.530757348247474</c:v>
                </c:pt>
                <c:pt idx="21">
                  <c:v>0.530460602503558</c:v>
                </c:pt>
                <c:pt idx="22">
                  <c:v>0.530163794221</c:v>
                </c:pt>
                <c:pt idx="23">
                  <c:v>0.529866923443537</c:v>
                </c:pt>
                <c:pt idx="24">
                  <c:v>0.529569990195007</c:v>
                </c:pt>
                <c:pt idx="25">
                  <c:v>0.529272994519151</c:v>
                </c:pt>
                <c:pt idx="26">
                  <c:v>0.528975936459742</c:v>
                </c:pt>
                <c:pt idx="27">
                  <c:v>0.528678816040601</c:v>
                </c:pt>
                <c:pt idx="28">
                  <c:v>0.528381633305512</c:v>
                </c:pt>
                <c:pt idx="29">
                  <c:v>0.528084388298242</c:v>
                </c:pt>
                <c:pt idx="30">
                  <c:v>0.527787081042646</c:v>
                </c:pt>
                <c:pt idx="31">
                  <c:v>0.527489711582506</c:v>
                </c:pt>
                <c:pt idx="32">
                  <c:v>0.527192279961611</c:v>
                </c:pt>
                <c:pt idx="33">
                  <c:v>0.526894786203833</c:v>
                </c:pt>
                <c:pt idx="34">
                  <c:v>0.526597230352962</c:v>
                </c:pt>
                <c:pt idx="35">
                  <c:v>0.526299612452832</c:v>
                </c:pt>
                <c:pt idx="36">
                  <c:v>0.526001932527282</c:v>
                </c:pt>
                <c:pt idx="37">
                  <c:v>0.525704190620154</c:v>
                </c:pt>
                <c:pt idx="38">
                  <c:v>0.525406386775275</c:v>
                </c:pt>
                <c:pt idx="39">
                  <c:v>0.52510852101651</c:v>
                </c:pt>
                <c:pt idx="40">
                  <c:v>0.524810593387723</c:v>
                </c:pt>
                <c:pt idx="41">
                  <c:v>0.524512603932737</c:v>
                </c:pt>
                <c:pt idx="42">
                  <c:v>0.524214552675453</c:v>
                </c:pt>
                <c:pt idx="43">
                  <c:v>0.523916439659718</c:v>
                </c:pt>
                <c:pt idx="44">
                  <c:v>0.523618264929415</c:v>
                </c:pt>
                <c:pt idx="45">
                  <c:v>0.523320028508427</c:v>
                </c:pt>
                <c:pt idx="46">
                  <c:v>0.523021730440624</c:v>
                </c:pt>
                <c:pt idx="47">
                  <c:v>0.522723370769917</c:v>
                </c:pt>
                <c:pt idx="48">
                  <c:v>0.522424949520174</c:v>
                </c:pt>
              </c:numCache>
            </c:numRef>
          </c:xVal>
          <c:yVal>
            <c:numRef>
              <c:f>orbit!$G$2:$G$50</c:f>
              <c:numCache>
                <c:formatCode>General</c:formatCode>
                <c:ptCount val="49"/>
                <c:pt idx="0">
                  <c:v>0.84378644972516</c:v>
                </c:pt>
                <c:pt idx="1">
                  <c:v>0.843974317741289</c:v>
                </c:pt>
                <c:pt idx="2">
                  <c:v>0.844162080698012</c:v>
                </c:pt>
                <c:pt idx="3">
                  <c:v>0.84434973858388</c:v>
                </c:pt>
                <c:pt idx="4">
                  <c:v>0.844537291374866</c:v>
                </c:pt>
                <c:pt idx="5">
                  <c:v>0.84472473904697</c:v>
                </c:pt>
                <c:pt idx="6">
                  <c:v>0.844912081588759</c:v>
                </c:pt>
                <c:pt idx="7">
                  <c:v>0.845099318976243</c:v>
                </c:pt>
                <c:pt idx="8">
                  <c:v>0.84528645118548</c:v>
                </c:pt>
                <c:pt idx="9">
                  <c:v>0.845473478205053</c:v>
                </c:pt>
                <c:pt idx="10">
                  <c:v>0.845660400011034</c:v>
                </c:pt>
                <c:pt idx="11">
                  <c:v>0.845847216579496</c:v>
                </c:pt>
                <c:pt idx="12">
                  <c:v>0.846033927899071</c:v>
                </c:pt>
                <c:pt idx="13">
                  <c:v>0.84622053394587</c:v>
                </c:pt>
                <c:pt idx="14">
                  <c:v>0.84640703469601</c:v>
                </c:pt>
                <c:pt idx="15">
                  <c:v>0.846593430138152</c:v>
                </c:pt>
                <c:pt idx="16">
                  <c:v>0.846779720248438</c:v>
                </c:pt>
                <c:pt idx="17">
                  <c:v>0.846965905003053</c:v>
                </c:pt>
                <c:pt idx="18">
                  <c:v>0.847151984390652</c:v>
                </c:pt>
                <c:pt idx="19">
                  <c:v>0.847337958387448</c:v>
                </c:pt>
                <c:pt idx="20">
                  <c:v>0.847523826969666</c:v>
                </c:pt>
                <c:pt idx="21">
                  <c:v>0.847709590125983</c:v>
                </c:pt>
                <c:pt idx="22">
                  <c:v>0.847895247832651</c:v>
                </c:pt>
                <c:pt idx="23">
                  <c:v>0.848080800065938</c:v>
                </c:pt>
                <c:pt idx="24">
                  <c:v>0.84826624681456</c:v>
                </c:pt>
                <c:pt idx="25">
                  <c:v>0.848451588054811</c:v>
                </c:pt>
                <c:pt idx="26">
                  <c:v>0.848636823762992</c:v>
                </c:pt>
                <c:pt idx="27">
                  <c:v>0.848821953927859</c:v>
                </c:pt>
                <c:pt idx="28">
                  <c:v>0.849006978525736</c:v>
                </c:pt>
                <c:pt idx="29">
                  <c:v>0.849191897532985</c:v>
                </c:pt>
                <c:pt idx="30">
                  <c:v>0.84937671093837</c:v>
                </c:pt>
                <c:pt idx="31">
                  <c:v>0.849561418718273</c:v>
                </c:pt>
                <c:pt idx="32">
                  <c:v>0.849746020849099</c:v>
                </c:pt>
                <c:pt idx="33">
                  <c:v>0.849930517319632</c:v>
                </c:pt>
                <c:pt idx="34">
                  <c:v>0.850114908106304</c:v>
                </c:pt>
                <c:pt idx="35">
                  <c:v>0.850299193185551</c:v>
                </c:pt>
                <c:pt idx="36">
                  <c:v>0.850483372546204</c:v>
                </c:pt>
                <c:pt idx="37">
                  <c:v>0.850667446164721</c:v>
                </c:pt>
                <c:pt idx="38">
                  <c:v>0.850851414017601</c:v>
                </c:pt>
                <c:pt idx="39">
                  <c:v>0.851035276093684</c:v>
                </c:pt>
                <c:pt idx="40">
                  <c:v>0.851219032369475</c:v>
                </c:pt>
                <c:pt idx="41">
                  <c:v>0.851402682821531</c:v>
                </c:pt>
                <c:pt idx="42">
                  <c:v>0.851586227438698</c:v>
                </c:pt>
                <c:pt idx="43">
                  <c:v>0.85176966619755</c:v>
                </c:pt>
                <c:pt idx="44">
                  <c:v>0.851952999074661</c:v>
                </c:pt>
                <c:pt idx="45">
                  <c:v>0.85213622605892</c:v>
                </c:pt>
                <c:pt idx="46">
                  <c:v>0.852319347126941</c:v>
                </c:pt>
                <c:pt idx="47">
                  <c:v>0.85250236225534</c:v>
                </c:pt>
                <c:pt idx="48">
                  <c:v>0.852685271433044</c:v>
                </c:pt>
              </c:numCache>
            </c:numRef>
          </c:yVal>
          <c:smooth val="0"/>
        </c:ser>
        <c:ser>
          <c:idx val="1"/>
          <c:order val="1"/>
          <c:spPr>
            <a:noFill/>
            <a:ln w="10800">
              <a:solidFill>
                <a:srgbClr val="999999"/>
              </a:solidFill>
              <a:round/>
            </a:ln>
          </c:spPr>
          <c:marker>
            <c:symbol val="none"/>
          </c:marker>
          <c:dLbls>
            <c:numFmt formatCode="0.00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orbit!$I$2:$I$121</c:f>
              <c:numCache>
                <c:formatCode>General</c:formatCode>
                <c:ptCount val="120"/>
                <c:pt idx="0">
                  <c:v>1</c:v>
                </c:pt>
                <c:pt idx="1">
                  <c:v>0.998629534754574</c:v>
                </c:pt>
                <c:pt idx="2">
                  <c:v>0.994521895368274</c:v>
                </c:pt>
                <c:pt idx="3">
                  <c:v>0.987688340595138</c:v>
                </c:pt>
                <c:pt idx="4">
                  <c:v>0.978147600733806</c:v>
                </c:pt>
                <c:pt idx="5">
                  <c:v>0.965925826289069</c:v>
                </c:pt>
                <c:pt idx="6">
                  <c:v>0.951056516295154</c:v>
                </c:pt>
                <c:pt idx="7">
                  <c:v>0.933580426497202</c:v>
                </c:pt>
                <c:pt idx="8">
                  <c:v>0.913545457642601</c:v>
                </c:pt>
                <c:pt idx="9">
                  <c:v>0.891006524188368</c:v>
                </c:pt>
                <c:pt idx="10">
                  <c:v>0.866025403784439</c:v>
                </c:pt>
                <c:pt idx="11">
                  <c:v>0.838670567945424</c:v>
                </c:pt>
                <c:pt idx="12">
                  <c:v>0.809016994374947</c:v>
                </c:pt>
                <c:pt idx="13">
                  <c:v>0.777145961456971</c:v>
                </c:pt>
                <c:pt idx="14">
                  <c:v>0.743144825477394</c:v>
                </c:pt>
                <c:pt idx="15">
                  <c:v>0.707106781186548</c:v>
                </c:pt>
                <c:pt idx="16">
                  <c:v>0.669130606358858</c:v>
                </c:pt>
                <c:pt idx="17">
                  <c:v>0.629320391049837</c:v>
                </c:pt>
                <c:pt idx="18">
                  <c:v>0.587785252292473</c:v>
                </c:pt>
                <c:pt idx="19">
                  <c:v>0.544639035015027</c:v>
                </c:pt>
                <c:pt idx="20">
                  <c:v>0.5</c:v>
                </c:pt>
                <c:pt idx="21">
                  <c:v>0.453990499739547</c:v>
                </c:pt>
                <c:pt idx="22">
                  <c:v>0.4067366430758</c:v>
                </c:pt>
                <c:pt idx="23">
                  <c:v>0.3583679495453</c:v>
                </c:pt>
                <c:pt idx="24">
                  <c:v>0.309016994374947</c:v>
                </c:pt>
                <c:pt idx="25">
                  <c:v>0.258819045102521</c:v>
                </c:pt>
                <c:pt idx="26">
                  <c:v>0.207911690817759</c:v>
                </c:pt>
                <c:pt idx="27">
                  <c:v>0.156434465040231</c:v>
                </c:pt>
                <c:pt idx="28">
                  <c:v>0.104528463267653</c:v>
                </c:pt>
                <c:pt idx="29">
                  <c:v>0.052335956242944</c:v>
                </c:pt>
                <c:pt idx="30">
                  <c:v>6.1257422745431E-017</c:v>
                </c:pt>
                <c:pt idx="31">
                  <c:v>-0.0523359562429436</c:v>
                </c:pt>
                <c:pt idx="32">
                  <c:v>-0.104528463267653</c:v>
                </c:pt>
                <c:pt idx="33">
                  <c:v>-0.156434465040231</c:v>
                </c:pt>
                <c:pt idx="34">
                  <c:v>-0.207911690817759</c:v>
                </c:pt>
                <c:pt idx="35">
                  <c:v>-0.258819045102521</c:v>
                </c:pt>
                <c:pt idx="36">
                  <c:v>-0.309016994374947</c:v>
                </c:pt>
                <c:pt idx="37">
                  <c:v>-0.3583679495453</c:v>
                </c:pt>
                <c:pt idx="38">
                  <c:v>-0.4067366430758</c:v>
                </c:pt>
                <c:pt idx="39">
                  <c:v>-0.453990499739547</c:v>
                </c:pt>
                <c:pt idx="40">
                  <c:v>-0.5</c:v>
                </c:pt>
                <c:pt idx="41">
                  <c:v>-0.544639035015027</c:v>
                </c:pt>
                <c:pt idx="42">
                  <c:v>-0.587785252292473</c:v>
                </c:pt>
                <c:pt idx="43">
                  <c:v>-0.629320391049837</c:v>
                </c:pt>
                <c:pt idx="44">
                  <c:v>-0.669130606358858</c:v>
                </c:pt>
                <c:pt idx="45">
                  <c:v>-0.707106781186547</c:v>
                </c:pt>
                <c:pt idx="46">
                  <c:v>-0.743144825477394</c:v>
                </c:pt>
                <c:pt idx="47">
                  <c:v>-0.777145961456971</c:v>
                </c:pt>
                <c:pt idx="48">
                  <c:v>-0.809016994374947</c:v>
                </c:pt>
                <c:pt idx="49">
                  <c:v>-0.838670567945424</c:v>
                </c:pt>
                <c:pt idx="50">
                  <c:v>-0.866025403784439</c:v>
                </c:pt>
                <c:pt idx="51">
                  <c:v>-0.891006524188368</c:v>
                </c:pt>
                <c:pt idx="52">
                  <c:v>-0.913545457642601</c:v>
                </c:pt>
                <c:pt idx="53">
                  <c:v>-0.933580426497202</c:v>
                </c:pt>
                <c:pt idx="54">
                  <c:v>-0.951056516295154</c:v>
                </c:pt>
                <c:pt idx="55">
                  <c:v>-0.965925826289068</c:v>
                </c:pt>
                <c:pt idx="56">
                  <c:v>-0.978147600733806</c:v>
                </c:pt>
                <c:pt idx="57">
                  <c:v>-0.987688340595138</c:v>
                </c:pt>
                <c:pt idx="58">
                  <c:v>-0.994521895368274</c:v>
                </c:pt>
                <c:pt idx="59">
                  <c:v>-0.998629534754574</c:v>
                </c:pt>
                <c:pt idx="60">
                  <c:v>-1</c:v>
                </c:pt>
                <c:pt idx="61">
                  <c:v>-0.998629534754574</c:v>
                </c:pt>
                <c:pt idx="62">
                  <c:v>-0.994521895368273</c:v>
                </c:pt>
                <c:pt idx="63">
                  <c:v>-0.987688340595138</c:v>
                </c:pt>
                <c:pt idx="64">
                  <c:v>-0.978147600733806</c:v>
                </c:pt>
                <c:pt idx="65">
                  <c:v>-0.965925826289069</c:v>
                </c:pt>
                <c:pt idx="66">
                  <c:v>-0.951056516295154</c:v>
                </c:pt>
                <c:pt idx="67">
                  <c:v>-0.933580426497202</c:v>
                </c:pt>
                <c:pt idx="68">
                  <c:v>-0.913545457642601</c:v>
                </c:pt>
                <c:pt idx="69">
                  <c:v>-0.891006524188368</c:v>
                </c:pt>
                <c:pt idx="70">
                  <c:v>-0.866025403784439</c:v>
                </c:pt>
                <c:pt idx="71">
                  <c:v>-0.838670567945424</c:v>
                </c:pt>
                <c:pt idx="72">
                  <c:v>-0.809016994374947</c:v>
                </c:pt>
                <c:pt idx="73">
                  <c:v>-0.777145961456971</c:v>
                </c:pt>
                <c:pt idx="74">
                  <c:v>-0.743144825477394</c:v>
                </c:pt>
                <c:pt idx="75">
                  <c:v>-0.707106781186548</c:v>
                </c:pt>
                <c:pt idx="76">
                  <c:v>-0.669130606358859</c:v>
                </c:pt>
                <c:pt idx="77">
                  <c:v>-0.629320391049837</c:v>
                </c:pt>
                <c:pt idx="78">
                  <c:v>-0.587785252292473</c:v>
                </c:pt>
                <c:pt idx="79">
                  <c:v>-0.544639035015027</c:v>
                </c:pt>
                <c:pt idx="80">
                  <c:v>-0.500000000000001</c:v>
                </c:pt>
                <c:pt idx="81">
                  <c:v>-0.453990499739547</c:v>
                </c:pt>
                <c:pt idx="82">
                  <c:v>-0.4067366430758</c:v>
                </c:pt>
                <c:pt idx="83">
                  <c:v>-0.358367949545301</c:v>
                </c:pt>
                <c:pt idx="84">
                  <c:v>-0.309016994374948</c:v>
                </c:pt>
                <c:pt idx="85">
                  <c:v>-0.258819045102521</c:v>
                </c:pt>
                <c:pt idx="86">
                  <c:v>-0.20791169081776</c:v>
                </c:pt>
                <c:pt idx="87">
                  <c:v>-0.156434465040231</c:v>
                </c:pt>
                <c:pt idx="88">
                  <c:v>-0.104528463267653</c:v>
                </c:pt>
                <c:pt idx="89">
                  <c:v>-0.0523359562429443</c:v>
                </c:pt>
                <c:pt idx="90">
                  <c:v>-1.83772268236293E-016</c:v>
                </c:pt>
                <c:pt idx="91">
                  <c:v>0.0523359562429439</c:v>
                </c:pt>
                <c:pt idx="92">
                  <c:v>0.104528463267653</c:v>
                </c:pt>
                <c:pt idx="93">
                  <c:v>0.156434465040231</c:v>
                </c:pt>
                <c:pt idx="94">
                  <c:v>0.207911690817759</c:v>
                </c:pt>
                <c:pt idx="95">
                  <c:v>0.258819045102521</c:v>
                </c:pt>
                <c:pt idx="96">
                  <c:v>0.309016994374947</c:v>
                </c:pt>
                <c:pt idx="97">
                  <c:v>0.3583679495453</c:v>
                </c:pt>
                <c:pt idx="98">
                  <c:v>0.4067366430758</c:v>
                </c:pt>
                <c:pt idx="99">
                  <c:v>0.453990499739547</c:v>
                </c:pt>
                <c:pt idx="100">
                  <c:v>0.5</c:v>
                </c:pt>
                <c:pt idx="101">
                  <c:v>0.544639035015027</c:v>
                </c:pt>
                <c:pt idx="102">
                  <c:v>0.587785252292473</c:v>
                </c:pt>
                <c:pt idx="103">
                  <c:v>0.629320391049837</c:v>
                </c:pt>
                <c:pt idx="104">
                  <c:v>0.669130606358858</c:v>
                </c:pt>
                <c:pt idx="105">
                  <c:v>0.707106781186547</c:v>
                </c:pt>
                <c:pt idx="106">
                  <c:v>0.743144825477394</c:v>
                </c:pt>
                <c:pt idx="107">
                  <c:v>0.777145961456971</c:v>
                </c:pt>
                <c:pt idx="108">
                  <c:v>0.809016994374947</c:v>
                </c:pt>
                <c:pt idx="109">
                  <c:v>0.838670567945424</c:v>
                </c:pt>
                <c:pt idx="110">
                  <c:v>0.866025403784438</c:v>
                </c:pt>
                <c:pt idx="111">
                  <c:v>0.891006524188368</c:v>
                </c:pt>
                <c:pt idx="112">
                  <c:v>0.913545457642601</c:v>
                </c:pt>
                <c:pt idx="113">
                  <c:v>0.933580426497202</c:v>
                </c:pt>
                <c:pt idx="114">
                  <c:v>0.951056516295154</c:v>
                </c:pt>
                <c:pt idx="115">
                  <c:v>0.965925826289069</c:v>
                </c:pt>
                <c:pt idx="116">
                  <c:v>0.978147600733806</c:v>
                </c:pt>
                <c:pt idx="117">
                  <c:v>0.987688340595138</c:v>
                </c:pt>
                <c:pt idx="118">
                  <c:v>0.994521895368274</c:v>
                </c:pt>
                <c:pt idx="119">
                  <c:v>0.998629534754574</c:v>
                </c:pt>
              </c:numCache>
            </c:numRef>
          </c:xVal>
          <c:yVal>
            <c:numRef>
              <c:f>orbit!$J$2:$J$121</c:f>
              <c:numCache>
                <c:formatCode>General</c:formatCode>
                <c:ptCount val="120"/>
                <c:pt idx="0">
                  <c:v>0</c:v>
                </c:pt>
                <c:pt idx="1">
                  <c:v>0.0523359562429438</c:v>
                </c:pt>
                <c:pt idx="2">
                  <c:v>0.104528463267653</c:v>
                </c:pt>
                <c:pt idx="3">
                  <c:v>0.156434465040231</c:v>
                </c:pt>
                <c:pt idx="4">
                  <c:v>0.207911690817759</c:v>
                </c:pt>
                <c:pt idx="5">
                  <c:v>0.258819045102521</c:v>
                </c:pt>
                <c:pt idx="6">
                  <c:v>0.309016994374947</c:v>
                </c:pt>
                <c:pt idx="7">
                  <c:v>0.3583679495453</c:v>
                </c:pt>
                <c:pt idx="8">
                  <c:v>0.4067366430758</c:v>
                </c:pt>
                <c:pt idx="9">
                  <c:v>0.453990499739547</c:v>
                </c:pt>
                <c:pt idx="10">
                  <c:v>0.5</c:v>
                </c:pt>
                <c:pt idx="11">
                  <c:v>0.544639035015027</c:v>
                </c:pt>
                <c:pt idx="12">
                  <c:v>0.587785252292473</c:v>
                </c:pt>
                <c:pt idx="13">
                  <c:v>0.629320391049837</c:v>
                </c:pt>
                <c:pt idx="14">
                  <c:v>0.669130606358858</c:v>
                </c:pt>
                <c:pt idx="15">
                  <c:v>0.707106781186547</c:v>
                </c:pt>
                <c:pt idx="16">
                  <c:v>0.743144825477394</c:v>
                </c:pt>
                <c:pt idx="17">
                  <c:v>0.777145961456971</c:v>
                </c:pt>
                <c:pt idx="18">
                  <c:v>0.809016994374947</c:v>
                </c:pt>
                <c:pt idx="19">
                  <c:v>0.838670567945424</c:v>
                </c:pt>
                <c:pt idx="20">
                  <c:v>0.866025403784439</c:v>
                </c:pt>
                <c:pt idx="21">
                  <c:v>0.891006524188368</c:v>
                </c:pt>
                <c:pt idx="22">
                  <c:v>0.913545457642601</c:v>
                </c:pt>
                <c:pt idx="23">
                  <c:v>0.933580426497202</c:v>
                </c:pt>
                <c:pt idx="24">
                  <c:v>0.951056516295154</c:v>
                </c:pt>
                <c:pt idx="25">
                  <c:v>0.965925826289069</c:v>
                </c:pt>
                <c:pt idx="26">
                  <c:v>0.978147600733806</c:v>
                </c:pt>
                <c:pt idx="27">
                  <c:v>0.987688340595138</c:v>
                </c:pt>
                <c:pt idx="28">
                  <c:v>0.994521895368274</c:v>
                </c:pt>
                <c:pt idx="29">
                  <c:v>0.998629534754574</c:v>
                </c:pt>
                <c:pt idx="30">
                  <c:v>1</c:v>
                </c:pt>
                <c:pt idx="31">
                  <c:v>0.998629534754574</c:v>
                </c:pt>
                <c:pt idx="32">
                  <c:v>0.994521895368273</c:v>
                </c:pt>
                <c:pt idx="33">
                  <c:v>0.987688340595138</c:v>
                </c:pt>
                <c:pt idx="34">
                  <c:v>0.978147600733806</c:v>
                </c:pt>
                <c:pt idx="35">
                  <c:v>0.965925826289069</c:v>
                </c:pt>
                <c:pt idx="36">
                  <c:v>0.951056516295154</c:v>
                </c:pt>
                <c:pt idx="37">
                  <c:v>0.933580426497202</c:v>
                </c:pt>
                <c:pt idx="38">
                  <c:v>0.913545457642601</c:v>
                </c:pt>
                <c:pt idx="39">
                  <c:v>0.891006524188368</c:v>
                </c:pt>
                <c:pt idx="40">
                  <c:v>0.866025403784439</c:v>
                </c:pt>
                <c:pt idx="41">
                  <c:v>0.838670567945424</c:v>
                </c:pt>
                <c:pt idx="42">
                  <c:v>0.809016994374947</c:v>
                </c:pt>
                <c:pt idx="43">
                  <c:v>0.777145961456971</c:v>
                </c:pt>
                <c:pt idx="44">
                  <c:v>0.743144825477394</c:v>
                </c:pt>
                <c:pt idx="45">
                  <c:v>0.707106781186548</c:v>
                </c:pt>
                <c:pt idx="46">
                  <c:v>0.669130606358858</c:v>
                </c:pt>
                <c:pt idx="47">
                  <c:v>0.629320391049838</c:v>
                </c:pt>
                <c:pt idx="48">
                  <c:v>0.587785252292473</c:v>
                </c:pt>
                <c:pt idx="49">
                  <c:v>0.544639035015027</c:v>
                </c:pt>
                <c:pt idx="50">
                  <c:v>0.5</c:v>
                </c:pt>
                <c:pt idx="51">
                  <c:v>0.453990499739547</c:v>
                </c:pt>
                <c:pt idx="52">
                  <c:v>0.4067366430758</c:v>
                </c:pt>
                <c:pt idx="53">
                  <c:v>0.3583679495453</c:v>
                </c:pt>
                <c:pt idx="54">
                  <c:v>0.309016994374948</c:v>
                </c:pt>
                <c:pt idx="55">
                  <c:v>0.258819045102521</c:v>
                </c:pt>
                <c:pt idx="56">
                  <c:v>0.207911690817759</c:v>
                </c:pt>
                <c:pt idx="57">
                  <c:v>0.156434465040231</c:v>
                </c:pt>
                <c:pt idx="58">
                  <c:v>0.104528463267654</c:v>
                </c:pt>
                <c:pt idx="59">
                  <c:v>0.0523359562429438</c:v>
                </c:pt>
                <c:pt idx="60">
                  <c:v>1.22514845490862E-016</c:v>
                </c:pt>
                <c:pt idx="61">
                  <c:v>-0.0523359562429436</c:v>
                </c:pt>
                <c:pt idx="62">
                  <c:v>-0.104528463267653</c:v>
                </c:pt>
                <c:pt idx="63">
                  <c:v>-0.156434465040231</c:v>
                </c:pt>
                <c:pt idx="64">
                  <c:v>-0.207911690817759</c:v>
                </c:pt>
                <c:pt idx="65">
                  <c:v>-0.25881904510252</c:v>
                </c:pt>
                <c:pt idx="66">
                  <c:v>-0.309016994374948</c:v>
                </c:pt>
                <c:pt idx="67">
                  <c:v>-0.3583679495453</c:v>
                </c:pt>
                <c:pt idx="68">
                  <c:v>-0.4067366430758</c:v>
                </c:pt>
                <c:pt idx="69">
                  <c:v>-0.453990499739546</c:v>
                </c:pt>
                <c:pt idx="70">
                  <c:v>-0.5</c:v>
                </c:pt>
                <c:pt idx="71">
                  <c:v>-0.544639035015027</c:v>
                </c:pt>
                <c:pt idx="72">
                  <c:v>-0.587785252292473</c:v>
                </c:pt>
                <c:pt idx="73">
                  <c:v>-0.629320391049838</c:v>
                </c:pt>
                <c:pt idx="74">
                  <c:v>-0.669130606358858</c:v>
                </c:pt>
                <c:pt idx="75">
                  <c:v>-0.707106781186547</c:v>
                </c:pt>
                <c:pt idx="76">
                  <c:v>-0.743144825477394</c:v>
                </c:pt>
                <c:pt idx="77">
                  <c:v>-0.777145961456971</c:v>
                </c:pt>
                <c:pt idx="78">
                  <c:v>-0.809016994374947</c:v>
                </c:pt>
                <c:pt idx="79">
                  <c:v>-0.838670567945424</c:v>
                </c:pt>
                <c:pt idx="80">
                  <c:v>-0.866025403784438</c:v>
                </c:pt>
                <c:pt idx="81">
                  <c:v>-0.891006524188368</c:v>
                </c:pt>
                <c:pt idx="82">
                  <c:v>-0.913545457642601</c:v>
                </c:pt>
                <c:pt idx="83">
                  <c:v>-0.933580426497202</c:v>
                </c:pt>
                <c:pt idx="84">
                  <c:v>-0.951056516295154</c:v>
                </c:pt>
                <c:pt idx="85">
                  <c:v>-0.965925826289069</c:v>
                </c:pt>
                <c:pt idx="86">
                  <c:v>-0.978147600733806</c:v>
                </c:pt>
                <c:pt idx="87">
                  <c:v>-0.987688340595138</c:v>
                </c:pt>
                <c:pt idx="88">
                  <c:v>-0.994521895368273</c:v>
                </c:pt>
                <c:pt idx="89">
                  <c:v>-0.998629534754574</c:v>
                </c:pt>
                <c:pt idx="90">
                  <c:v>-1</c:v>
                </c:pt>
                <c:pt idx="91">
                  <c:v>-0.998629534754574</c:v>
                </c:pt>
                <c:pt idx="92">
                  <c:v>-0.994521895368273</c:v>
                </c:pt>
                <c:pt idx="93">
                  <c:v>-0.987688340595138</c:v>
                </c:pt>
                <c:pt idx="94">
                  <c:v>-0.978147600733806</c:v>
                </c:pt>
                <c:pt idx="95">
                  <c:v>-0.965925826289068</c:v>
                </c:pt>
                <c:pt idx="96">
                  <c:v>-0.951056516295154</c:v>
                </c:pt>
                <c:pt idx="97">
                  <c:v>-0.933580426497202</c:v>
                </c:pt>
                <c:pt idx="98">
                  <c:v>-0.913545457642601</c:v>
                </c:pt>
                <c:pt idx="99">
                  <c:v>-0.891006524188368</c:v>
                </c:pt>
                <c:pt idx="100">
                  <c:v>-0.866025403784439</c:v>
                </c:pt>
                <c:pt idx="101">
                  <c:v>-0.838670567945424</c:v>
                </c:pt>
                <c:pt idx="102">
                  <c:v>-0.809016994374947</c:v>
                </c:pt>
                <c:pt idx="103">
                  <c:v>-0.777145961456971</c:v>
                </c:pt>
                <c:pt idx="104">
                  <c:v>-0.743144825477395</c:v>
                </c:pt>
                <c:pt idx="105">
                  <c:v>-0.707106781186548</c:v>
                </c:pt>
                <c:pt idx="106">
                  <c:v>-0.669130606358858</c:v>
                </c:pt>
                <c:pt idx="107">
                  <c:v>-0.629320391049838</c:v>
                </c:pt>
                <c:pt idx="108">
                  <c:v>-0.587785252292473</c:v>
                </c:pt>
                <c:pt idx="109">
                  <c:v>-0.544639035015027</c:v>
                </c:pt>
                <c:pt idx="110">
                  <c:v>-0.500000000000001</c:v>
                </c:pt>
                <c:pt idx="111">
                  <c:v>-0.453990499739547</c:v>
                </c:pt>
                <c:pt idx="112">
                  <c:v>-0.4067366430758</c:v>
                </c:pt>
                <c:pt idx="113">
                  <c:v>-0.358367949545301</c:v>
                </c:pt>
                <c:pt idx="114">
                  <c:v>-0.309016994374948</c:v>
                </c:pt>
                <c:pt idx="115">
                  <c:v>-0.258819045102521</c:v>
                </c:pt>
                <c:pt idx="116">
                  <c:v>-0.20791169081776</c:v>
                </c:pt>
                <c:pt idx="117">
                  <c:v>-0.156434465040231</c:v>
                </c:pt>
                <c:pt idx="118">
                  <c:v>-0.104528463267653</c:v>
                </c:pt>
                <c:pt idx="119">
                  <c:v>-0.0523359562429444</c:v>
                </c:pt>
              </c:numCache>
            </c:numRef>
          </c:yVal>
          <c:smooth val="0"/>
        </c:ser>
        <c:axId val="81929449"/>
        <c:axId val="1042283"/>
      </c:scatterChart>
      <c:valAx>
        <c:axId val="81929449"/>
        <c:scaling>
          <c:orientation val="minMax"/>
          <c:max val="1"/>
          <c:min val="-1"/>
        </c:scaling>
        <c:delete val="0"/>
        <c:axPos val="b"/>
        <c:numFmt formatCode="0,000" sourceLinked="0"/>
        <c:majorTickMark val="none"/>
        <c:minorTickMark val="none"/>
        <c:tickLblPos val="none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042283"/>
        <c:crosses val="autoZero"/>
        <c:crossBetween val="midCat"/>
      </c:valAx>
      <c:valAx>
        <c:axId val="1042283"/>
        <c:scaling>
          <c:orientation val="minMax"/>
          <c:max val="1"/>
          <c:min val="-1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0.000" sourceLinked="1"/>
        <c:majorTickMark val="none"/>
        <c:minorTickMark val="none"/>
        <c:tickLblPos val="none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1929449"/>
        <c:crosses val="autoZero"/>
        <c:crossBetween val="midCat"/>
        <c:majorUnit val="1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7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163440</xdr:colOff>
      <xdr:row>1</xdr:row>
      <xdr:rowOff>38160</xdr:rowOff>
    </xdr:from>
    <xdr:to>
      <xdr:col>17</xdr:col>
      <xdr:colOff>259560</xdr:colOff>
      <xdr:row>21</xdr:row>
      <xdr:rowOff>118800</xdr:rowOff>
    </xdr:to>
    <xdr:graphicFrame>
      <xdr:nvGraphicFramePr>
        <xdr:cNvPr id="0" name="Diagramm 1"/>
        <xdr:cNvGraphicFramePr/>
      </xdr:nvGraphicFramePr>
      <xdr:xfrm>
        <a:off x="7154640" y="228600"/>
        <a:ext cx="5763600" cy="3890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82440</xdr:colOff>
      <xdr:row>22</xdr:row>
      <xdr:rowOff>128160</xdr:rowOff>
    </xdr:from>
    <xdr:to>
      <xdr:col>18</xdr:col>
      <xdr:colOff>16920</xdr:colOff>
      <xdr:row>42</xdr:row>
      <xdr:rowOff>121320</xdr:rowOff>
    </xdr:to>
    <xdr:graphicFrame>
      <xdr:nvGraphicFramePr>
        <xdr:cNvPr id="1" name="Diagramm 2"/>
        <xdr:cNvGraphicFramePr/>
      </xdr:nvGraphicFramePr>
      <xdr:xfrm>
        <a:off x="7073640" y="4318920"/>
        <a:ext cx="6411600" cy="3803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92160</xdr:colOff>
      <xdr:row>45</xdr:row>
      <xdr:rowOff>21960</xdr:rowOff>
    </xdr:from>
    <xdr:to>
      <xdr:col>18</xdr:col>
      <xdr:colOff>127800</xdr:colOff>
      <xdr:row>62</xdr:row>
      <xdr:rowOff>186480</xdr:rowOff>
    </xdr:to>
    <xdr:graphicFrame>
      <xdr:nvGraphicFramePr>
        <xdr:cNvPr id="2" name="Diagramm 3"/>
        <xdr:cNvGraphicFramePr/>
      </xdr:nvGraphicFramePr>
      <xdr:xfrm>
        <a:off x="7083360" y="8594280"/>
        <a:ext cx="6512760" cy="3403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301320</xdr:colOff>
      <xdr:row>5</xdr:row>
      <xdr:rowOff>42480</xdr:rowOff>
    </xdr:from>
    <xdr:to>
      <xdr:col>14</xdr:col>
      <xdr:colOff>83160</xdr:colOff>
      <xdr:row>26</xdr:row>
      <xdr:rowOff>42480</xdr:rowOff>
    </xdr:to>
    <xdr:graphicFrame>
      <xdr:nvGraphicFramePr>
        <xdr:cNvPr id="3" name="Diagramm 1"/>
        <xdr:cNvGraphicFramePr/>
      </xdr:nvGraphicFramePr>
      <xdr:xfrm>
        <a:off x="5158800" y="994680"/>
        <a:ext cx="6258960" cy="4000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516240</xdr:colOff>
      <xdr:row>1</xdr:row>
      <xdr:rowOff>56880</xdr:rowOff>
    </xdr:from>
    <xdr:to>
      <xdr:col>17</xdr:col>
      <xdr:colOff>611280</xdr:colOff>
      <xdr:row>21</xdr:row>
      <xdr:rowOff>137880</xdr:rowOff>
    </xdr:to>
    <xdr:graphicFrame>
      <xdr:nvGraphicFramePr>
        <xdr:cNvPr id="4" name="Diagramm 1"/>
        <xdr:cNvGraphicFramePr/>
      </xdr:nvGraphicFramePr>
      <xdr:xfrm>
        <a:off x="7153560" y="247320"/>
        <a:ext cx="5762520" cy="3890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665640</xdr:colOff>
      <xdr:row>23</xdr:row>
      <xdr:rowOff>16920</xdr:rowOff>
    </xdr:from>
    <xdr:to>
      <xdr:col>17</xdr:col>
      <xdr:colOff>765360</xdr:colOff>
      <xdr:row>42</xdr:row>
      <xdr:rowOff>179280</xdr:rowOff>
    </xdr:to>
    <xdr:graphicFrame>
      <xdr:nvGraphicFramePr>
        <xdr:cNvPr id="5" name="Diagramm 2"/>
        <xdr:cNvGraphicFramePr/>
      </xdr:nvGraphicFramePr>
      <xdr:xfrm>
        <a:off x="7302960" y="4398120"/>
        <a:ext cx="5767200" cy="3782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443520</xdr:colOff>
      <xdr:row>1</xdr:row>
      <xdr:rowOff>102240</xdr:rowOff>
    </xdr:from>
    <xdr:to>
      <xdr:col>12</xdr:col>
      <xdr:colOff>538560</xdr:colOff>
      <xdr:row>31</xdr:row>
      <xdr:rowOff>11520</xdr:rowOff>
    </xdr:to>
    <xdr:graphicFrame>
      <xdr:nvGraphicFramePr>
        <xdr:cNvPr id="6" name="Diagramm 1"/>
        <xdr:cNvGraphicFramePr/>
      </xdr:nvGraphicFramePr>
      <xdr:xfrm>
        <a:off x="4491360" y="292680"/>
        <a:ext cx="5762520" cy="5624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9.625" defaultRowHeight="15" zeroHeight="false" outlineLevelRow="0" outlineLevelCol="0"/>
  <cols>
    <col collapsed="false" customWidth="true" hidden="false" outlineLevel="0" max="1" min="1" style="1" width="11.94"/>
    <col collapsed="false" customWidth="true" hidden="false" outlineLevel="0" max="2" min="2" style="1" width="7.09"/>
    <col collapsed="false" customWidth="true" hidden="false" outlineLevel="0" max="3" min="3" style="1" width="8.22"/>
    <col collapsed="false" customWidth="true" hidden="false" outlineLevel="0" max="4" min="4" style="1" width="11.68"/>
    <col collapsed="false" customWidth="false" hidden="false" outlineLevel="0" max="6" min="5" style="1" width="9.57"/>
    <col collapsed="false" customWidth="true" hidden="false" outlineLevel="0" max="64" min="7" style="1" width="7.32"/>
  </cols>
  <sheetData>
    <row r="1" customFormat="false" ht="15" hidden="false" customHeight="false" outlineLevel="0" collapsed="false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customFormat="false" ht="15" hidden="false" customHeight="false" outlineLevel="0" collapsed="false">
      <c r="B2" s="3" t="n">
        <v>19</v>
      </c>
      <c r="C2" s="3" t="n">
        <v>5</v>
      </c>
      <c r="D2" s="3" t="n">
        <v>1991</v>
      </c>
      <c r="E2" s="3" t="n">
        <v>50</v>
      </c>
      <c r="F2" s="3" t="n">
        <v>10</v>
      </c>
    </row>
    <row r="3" customFormat="false" ht="15" hidden="false" customHeight="false" outlineLevel="0" collapsed="false">
      <c r="A3" s="4" t="s">
        <v>5</v>
      </c>
      <c r="B3" s="5" t="n">
        <f aca="false">IF(OR(C2=1,C2=3,C2=5,C2=7,C2=10,C2=12),31,IF(OR(C2=4,C2=6,C2=9,C2=11),30,IF(D4="common year",28,29)))</f>
        <v>31</v>
      </c>
      <c r="C3" s="5"/>
    </row>
    <row r="4" customFormat="false" ht="15" hidden="false" customHeight="false" outlineLevel="0" collapsed="false">
      <c r="D4" s="6" t="str">
        <f aca="false">calc!$C$3</f>
        <v>common year</v>
      </c>
    </row>
    <row r="5" customFormat="false" ht="15" hidden="false" customHeight="false" outlineLevel="0" collapsed="false">
      <c r="D5" s="5"/>
    </row>
    <row r="6" customFormat="false" ht="15" hidden="false" customHeight="false" outlineLevel="0" collapsed="false">
      <c r="D6" s="7" t="s">
        <v>6</v>
      </c>
    </row>
    <row r="7" customFormat="false" ht="15" hidden="false" customHeight="false" outlineLevel="0" collapsed="false">
      <c r="D7" s="7" t="s">
        <v>7</v>
      </c>
    </row>
    <row r="8" customFormat="false" ht="15" hidden="false" customHeight="false" outlineLevel="0" collapsed="false">
      <c r="D8" s="7" t="s">
        <v>8</v>
      </c>
    </row>
    <row r="9" customFormat="false" ht="15" hidden="false" customHeight="false" outlineLevel="0" collapsed="false">
      <c r="D9" s="8" t="n">
        <v>44003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&amp;C&amp;10&amp;A</oddHeader>
    <oddFooter>&amp;C&amp;10Seite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51"/>
  <sheetViews>
    <sheetView showFormulas="false" showGridLines="true" showRowColHeaders="true" showZeros="true" rightToLeft="false" tabSelected="false" showOutlineSymbols="true" defaultGridColor="true" view="normal" topLeftCell="I1" colorId="64" zoomScale="100" zoomScaleNormal="100" zoomScalePageLayoutView="100" workbookViewId="0">
      <selection pane="topLeft" activeCell="J2" activeCellId="0" sqref="J2"/>
    </sheetView>
  </sheetViews>
  <sheetFormatPr defaultColWidth="9.58984375" defaultRowHeight="15" zeroHeight="false" outlineLevelRow="0" outlineLevelCol="0"/>
  <cols>
    <col collapsed="false" customWidth="true" hidden="false" outlineLevel="0" max="1" min="1" style="1" width="7.88"/>
    <col collapsed="false" customWidth="true" hidden="false" outlineLevel="0" max="2" min="2" style="1" width="6.87"/>
    <col collapsed="false" customWidth="true" hidden="false" outlineLevel="0" max="3" min="3" style="1" width="8.89"/>
    <col collapsed="false" customWidth="true" hidden="false" outlineLevel="0" max="4" min="4" style="9" width="6.87"/>
    <col collapsed="false" customWidth="true" hidden="false" outlineLevel="0" max="5" min="5" style="1" width="6.98"/>
    <col collapsed="false" customWidth="true" hidden="false" outlineLevel="0" max="6" min="6" style="10" width="5.74"/>
    <col collapsed="false" customWidth="true" hidden="false" outlineLevel="0" max="7" min="7" style="11" width="7.77"/>
    <col collapsed="false" customWidth="true" hidden="false" outlineLevel="0" max="9" min="8" style="12" width="8.11"/>
    <col collapsed="false" customWidth="true" hidden="false" outlineLevel="0" max="10" min="10" style="13" width="8.34"/>
    <col collapsed="false" customWidth="true" hidden="false" outlineLevel="0" max="11" min="11" style="14" width="11.26"/>
    <col collapsed="false" customWidth="true" hidden="false" outlineLevel="0" max="12" min="12" style="15" width="9.68"/>
    <col collapsed="false" customWidth="true" hidden="false" outlineLevel="0" max="14" min="13" style="16" width="7.88"/>
    <col collapsed="false" customWidth="true" hidden="false" outlineLevel="0" max="15" min="15" style="17" width="7.43"/>
    <col collapsed="false" customWidth="true" hidden="false" outlineLevel="0" max="16" min="16" style="16" width="7.54"/>
    <col collapsed="false" customWidth="true" hidden="false" outlineLevel="0" max="17" min="17" style="18" width="6.98"/>
    <col collapsed="false" customWidth="true" hidden="false" outlineLevel="0" max="19" min="18" style="17" width="6.42"/>
    <col collapsed="false" customWidth="true" hidden="false" outlineLevel="0" max="20" min="20" style="18" width="7.2"/>
    <col collapsed="false" customWidth="true" hidden="false" outlineLevel="0" max="21" min="21" style="16" width="7.2"/>
    <col collapsed="false" customWidth="true" hidden="false" outlineLevel="0" max="22" min="22" style="16" width="7.43"/>
    <col collapsed="false" customWidth="true" hidden="false" outlineLevel="0" max="23" min="23" style="16" width="8.44"/>
    <col collapsed="false" customWidth="true" hidden="false" outlineLevel="0" max="24" min="24" style="19" width="6.98"/>
    <col collapsed="false" customWidth="true" hidden="false" outlineLevel="0" max="25" min="25" style="17" width="8.22"/>
    <col collapsed="false" customWidth="true" hidden="false" outlineLevel="0" max="26" min="26" style="20" width="4.73"/>
    <col collapsed="false" customWidth="true" hidden="false" outlineLevel="0" max="27" min="27" style="20" width="5.29"/>
    <col collapsed="false" customWidth="true" hidden="false" outlineLevel="0" max="28" min="28" style="20" width="9.68"/>
    <col collapsed="false" customWidth="true" hidden="false" outlineLevel="0" max="29" min="29" style="21" width="10.58"/>
    <col collapsed="false" customWidth="true" hidden="false" outlineLevel="0" max="30" min="30" style="1" width="6.19"/>
    <col collapsed="false" customWidth="true" hidden="false" outlineLevel="0" max="31" min="31" style="1" width="6.42"/>
    <col collapsed="false" customWidth="true" hidden="false" outlineLevel="0" max="32" min="32" style="1" width="5.97"/>
    <col collapsed="false" customWidth="true" hidden="false" outlineLevel="0" max="33" min="33" style="1" width="6.19"/>
    <col collapsed="false" customWidth="true" hidden="false" outlineLevel="0" max="34" min="34" style="1" width="6.87"/>
    <col collapsed="false" customWidth="true" hidden="false" outlineLevel="0" max="35" min="35" style="1" width="9.34"/>
    <col collapsed="false" customWidth="true" hidden="false" outlineLevel="0" max="36" min="36" style="1" width="7.32"/>
    <col collapsed="false" customWidth="true" hidden="false" outlineLevel="0" max="37" min="37" style="1" width="5.97"/>
    <col collapsed="false" customWidth="true" hidden="false" outlineLevel="0" max="38" min="38" style="1" width="8.44"/>
    <col collapsed="false" customWidth="true" hidden="false" outlineLevel="0" max="39" min="39" style="1" width="7.2"/>
    <col collapsed="false" customWidth="true" hidden="false" outlineLevel="0" max="40" min="40" style="1" width="7.88"/>
    <col collapsed="false" customWidth="true" hidden="false" outlineLevel="0" max="41" min="41" style="1" width="7.77"/>
    <col collapsed="false" customWidth="true" hidden="false" outlineLevel="0" max="42" min="42" style="1" width="6.53"/>
    <col collapsed="false" customWidth="true" hidden="false" outlineLevel="0" max="43" min="43" style="1" width="7.09"/>
    <col collapsed="false" customWidth="true" hidden="false" outlineLevel="0" max="44" min="44" style="1" width="9.91"/>
    <col collapsed="false" customWidth="true" hidden="false" outlineLevel="0" max="45" min="45" style="1" width="7.54"/>
    <col collapsed="false" customWidth="true" hidden="false" outlineLevel="0" max="46" min="46" style="1" width="11.37"/>
    <col collapsed="false" customWidth="true" hidden="false" outlineLevel="0" max="47" min="47" style="1" width="7.54"/>
    <col collapsed="false" customWidth="true" hidden="false" outlineLevel="0" max="48" min="48" style="1" width="15.09"/>
    <col collapsed="false" customWidth="true" hidden="false" outlineLevel="0" max="49" min="49" style="1" width="13.96"/>
    <col collapsed="false" customWidth="true" hidden="false" outlineLevel="0" max="50" min="50" style="1" width="14.19"/>
    <col collapsed="false" customWidth="true" hidden="false" outlineLevel="0" max="51" min="51" style="1" width="11.94"/>
    <col collapsed="false" customWidth="true" hidden="false" outlineLevel="0" max="53" min="52" style="1" width="11.14"/>
    <col collapsed="false" customWidth="false" hidden="false" outlineLevel="0" max="54" min="54" style="1" width="9.57"/>
    <col collapsed="false" customWidth="true" hidden="false" outlineLevel="0" max="55" min="55" style="1" width="35.24"/>
    <col collapsed="false" customWidth="false" hidden="false" outlineLevel="0" max="64" min="56" style="1" width="9.57"/>
    <col collapsed="false" customWidth="true" hidden="false" outlineLevel="0" max="1024" min="1019" style="0" width="7.32"/>
  </cols>
  <sheetData>
    <row r="1" s="7" customFormat="true" ht="15" hidden="false" customHeight="false" outlineLevel="0" collapsed="false">
      <c r="A1" s="2" t="str">
        <f aca="false">input!$B$1</f>
        <v>Date</v>
      </c>
      <c r="B1" s="2" t="s">
        <v>1</v>
      </c>
      <c r="C1" s="2" t="s">
        <v>2</v>
      </c>
      <c r="D1" s="2" t="s">
        <v>3</v>
      </c>
      <c r="E1" s="2" t="s">
        <v>4</v>
      </c>
      <c r="F1" s="22" t="s">
        <v>9</v>
      </c>
      <c r="G1" s="23" t="s">
        <v>10</v>
      </c>
      <c r="H1" s="13" t="s">
        <v>11</v>
      </c>
      <c r="I1" s="13" t="s">
        <v>12</v>
      </c>
      <c r="J1" s="13" t="s">
        <v>13</v>
      </c>
      <c r="K1" s="24" t="s">
        <v>14</v>
      </c>
      <c r="L1" s="25" t="s">
        <v>15</v>
      </c>
      <c r="M1" s="24" t="s">
        <v>16</v>
      </c>
      <c r="N1" s="24" t="s">
        <v>17</v>
      </c>
      <c r="O1" s="26" t="s">
        <v>18</v>
      </c>
      <c r="P1" s="24" t="s">
        <v>19</v>
      </c>
      <c r="Q1" s="27" t="s">
        <v>20</v>
      </c>
      <c r="R1" s="26" t="s">
        <v>21</v>
      </c>
      <c r="S1" s="26" t="s">
        <v>22</v>
      </c>
      <c r="T1" s="27" t="s">
        <v>23</v>
      </c>
      <c r="U1" s="24" t="s">
        <v>24</v>
      </c>
      <c r="V1" s="24" t="s">
        <v>25</v>
      </c>
      <c r="W1" s="24" t="s">
        <v>26</v>
      </c>
      <c r="X1" s="22" t="s">
        <v>27</v>
      </c>
      <c r="Y1" s="26" t="s">
        <v>28</v>
      </c>
      <c r="Z1" s="28" t="n">
        <v>1</v>
      </c>
      <c r="AA1" s="28" t="n">
        <v>2</v>
      </c>
      <c r="AB1" s="20" t="s">
        <v>29</v>
      </c>
      <c r="AC1" s="25" t="s">
        <v>30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customFormat="false" ht="15" hidden="false" customHeight="false" outlineLevel="0" collapsed="false">
      <c r="A2" s="29" t="n">
        <f aca="false">input!$B$2</f>
        <v>19</v>
      </c>
      <c r="B2" s="29" t="n">
        <f aca="false">input!$C$2</f>
        <v>5</v>
      </c>
      <c r="C2" s="29" t="n">
        <f aca="false">input!$D$2</f>
        <v>1991</v>
      </c>
      <c r="D2" s="29" t="n">
        <f aca="false">input!$E$2</f>
        <v>50</v>
      </c>
      <c r="E2" s="29" t="n">
        <f aca="false">input!$F$2</f>
        <v>10</v>
      </c>
      <c r="F2" s="20" t="n">
        <v>0</v>
      </c>
      <c r="G2" s="23" t="n">
        <f aca="false">ASIN(Y2)/$C$6</f>
        <v>-19.7218878073464</v>
      </c>
      <c r="H2" s="23" t="n">
        <f aca="false">G2+1.02/(TAN($C$6*(G2+10.3/(G2+5.11)))*60)</f>
        <v>-19.7675340833854</v>
      </c>
      <c r="I2" s="13" t="n">
        <f aca="false">IF(X2&gt;180,AB2-180,AB2+180)</f>
        <v>10.9033153832532</v>
      </c>
      <c r="J2" s="13" t="n">
        <f aca="false">IF(ABS(4*(N2-0.0057183-V2))&lt;20,4*(N2-0.0057183-V2),4*(N2-0.0057183-V2-360))</f>
        <v>3.5836286431288</v>
      </c>
      <c r="K2" s="30" t="n">
        <f aca="false">INT(365.25*IF($B$2&gt;2,$C$2+4716,$C$2-1+4716))+INT(30.6001*IF($B$2&gt;2,$B$2+1,$B$2+12+1))+$A$2+F2/24+2-INT(IF($B$2&gt;2,$C$2,$C$2-1)/100)+INT(INT(IF($B$2&gt;2,$C$2,$C$2-1)/100)/4)-1524.5</f>
        <v>2448395.5</v>
      </c>
      <c r="L2" s="21" t="n">
        <f aca="false">(K2-2451545)/36525</f>
        <v>-0.0862286105407255</v>
      </c>
      <c r="M2" s="16" t="n">
        <f aca="false">MOD(357.5291 + 35999.0503*L2 - 0.0001559*L2^2 - 0.00000048*L2^3,360)</f>
        <v>133.381010686445</v>
      </c>
      <c r="N2" s="16" t="n">
        <f aca="false">MOD(280.46645 + 36000.76983*L2 + 0.0003032*L2^2,360)</f>
        <v>56.1700914170333</v>
      </c>
      <c r="O2" s="17" t="n">
        <f aca="false"> MOD((1.9146 - 0.004817*L2 - 0.000014*L2^2)*SIN(M2*$C$6) + (0.019993 - 0.000101*L2)*SIN(2*M2*$C$6) + 0.00029*SIN(3*M2*$C$6),360)</f>
        <v>1.37205477532546</v>
      </c>
      <c r="P2" s="16" t="n">
        <f aca="false">MOD(N2+O2,360)</f>
        <v>57.5421461923588</v>
      </c>
      <c r="Q2" s="18" t="n">
        <f aca="false">COS(P2*$C$6)</f>
        <v>0.536679072873361</v>
      </c>
      <c r="R2" s="17" t="n">
        <f aca="false">COS((23.4393-46.815*L2/3600)*$C$6)*SIN(P2*$C$6)</f>
        <v>0.774152310853965</v>
      </c>
      <c r="S2" s="17" t="n">
        <f aca="false">SIN((23.4393-46.815*L2/3600)*$C$6)*SIN(P2*$C$6)</f>
        <v>0.335654245227518</v>
      </c>
      <c r="T2" s="18" t="n">
        <f aca="false">SQRT(1-S2^2)</f>
        <v>0.94198525872794</v>
      </c>
      <c r="U2" s="16" t="n">
        <f aca="false">ATAN(S2/T2)/$C$6</f>
        <v>19.6123271615258</v>
      </c>
      <c r="V2" s="16" t="n">
        <f aca="false">IF(2*ATAN(R2/(Q2+T2))/$C$6&gt;0, 2*ATAN(R2/(Q2+T2))/$C$6, 2*ATAN(R2/(Q2+T2))/$C$6+360)</f>
        <v>55.2684659562511</v>
      </c>
      <c r="W2" s="16" t="n">
        <f aca="false">MOD(280.46061837+360.98564736629*(K2-2451545)+0.000387933*L2^2-L2^3/3871000010 + $E$2,360)</f>
        <v>246.164241124177</v>
      </c>
      <c r="X2" s="19" t="n">
        <f aca="false">IF(W2-V2&gt;0,W2-V2,W2-V2+360)</f>
        <v>190.895775167926</v>
      </c>
      <c r="Y2" s="17" t="n">
        <f aca="false">SIN($D$2*$C$6)*SIN(U2*$C$6) +COS($D$2*$C$6)*COS(U2*$C$6)*COS(X2*$C$6)</f>
        <v>-0.337454889032484</v>
      </c>
      <c r="Z2" s="31" t="n">
        <f aca="false">SIN($C$6*X2)</f>
        <v>-0.189023035560406</v>
      </c>
      <c r="AA2" s="31" t="n">
        <f aca="false">COS($C$6*X2)*SIN($C$6*$D$2) - TAN($C$6*U2)*COS($C$6*$D$2)</f>
        <v>-0.981276909235803</v>
      </c>
      <c r="AB2" s="31" t="n">
        <f aca="false">IF(OR(AND(Z2*AA2&gt;0), AND(Z2&lt;0,AA2&gt;0)), MOD(ATAN2(AA2,Z2)/$C$6+360,360),  ATAN2(AA2,Z2)/$C$6)</f>
        <v>190.903315383253</v>
      </c>
      <c r="AC2" s="21" t="n">
        <f aca="false">(100013989+1670700*COS(3.0984635 + 6283.07585*L2/10)+13956*COS(3.05525 + 12566.1517*L2/10)+3084*COS(5.1985 + 77713.7715*L2/10) +1628*COS(1.1739 + 5753.3849*L2/10)+1576*COS(2.8469 + 7860.4194*L2/10)+925*COS(5.453 + 11506.77*L2/10)+542*COS(4.564 + 3930.21*L2/10)+472*COS(3.661 + 5884.927*L2/10)+346*COS(0.964 + 5507.553*L2/10)+329*COS(5.9 + 5223.694*L2/10)+307*COS(0.299 + 5573.143*L2/10)+243*COS(4.273 + 11790.629*L2/10)+212*COS(5.847 + 1577.344*L2/10)+186*COS(5.022 + 10977.079*L2/10)+175*COS(3.012 + 18849.228*L2/10)+110*COS(5.055 + 5486.778*L2/10)+98*COS(0.89 + 6069.78*L2/10)+86*COS(5.69 + 15720.84*L2/10)+86*COS(1.27 + 161000.69*L2/10)+65*COS(0.27 + 17260.15*L2/10)+63*COS(0.92 + 529.69*L2/10)+57*COS(2.01 + 83996.85*L2/10)+56*COS(5.24 + 71430.7*L2/10)+49*COS(3.25 + 2544.31*L2/10)+47*COS(2.58 + 775.52*L2/10)+45*COS(5.54 + 9437.76*L2/10)+43*COS(6.01 + 6275.96*L2/10)+39*COS(5.36 + 4694*L2/10)+38*COS(2.39 + 8827.39*L2/10)+37*COS(0.83 + 19651.05*L2/10)+37*COS(4.9 + 12139.55*L2/10)+36*COS(1.67 + 12036.46*L2/10)+35*COS(1.84 + 2942.46*L2/10)+33*COS(0.24 + 7084.9*L2/10)+32*COS(0.18 + 5088.63*L2/10)+32*COS(1.78 + 398.15*L2/10)+28*COS(1.21 + 6286.6*L2/10)+28*COS(1.9 + 6279.55*L2/10)+26*COS(4.59 + 10447.39*L2/10) +24.6*COS(3.787 + 8429.241*L2/10)+23.6*COS(0.269 + 796.3*L2/10)+27.8*COS(1.899 + 6279.55*L2/10)+23.9*COS(4.996 + 5856.48*L2/10)+20.3*COS(4.653 + 2146.165*L2/10))/100000000 + (103019*COS(1.10749 + 6283.07585*L2/10) +1721*COS(1.0644 + 12566.1517*L2/10) +702*COS(3.142 + 0*L2/10) +32*COS(1.02 + 18849.23*L2/10) +31*COS(2.84 + 5507.55*L2/10) +25*COS(1.32 + 5223.69*L2/10) +18*COS(1.42 + 1577.34*L2/10) +10*COS(5.91 + 10977.08*L2/10) +9*COS(1.42 + 6275.96*L2/10) +9*COS(0.27 + 5486.78*L2/10))*L2/1000000000  + (4359*COS(5.7846 + 6283.0758*L2/10)*L2^2+124*COS(5.579 + 12566.152*L2/10)*L2^2)/10000000000</f>
        <v>1.01161944898025</v>
      </c>
      <c r="BD2" s="2"/>
      <c r="BE2" s="2"/>
      <c r="BF2" s="2"/>
      <c r="BG2" s="2"/>
      <c r="BH2" s="2"/>
      <c r="BI2" s="2"/>
      <c r="BJ2" s="2"/>
      <c r="BK2" s="2"/>
      <c r="BL2" s="2"/>
    </row>
    <row r="3" customFormat="false" ht="15" hidden="false" customHeight="false" outlineLevel="0" collapsed="false">
      <c r="C3" s="32" t="str">
        <f aca="false">IF(AND(MOD($C$2,4)=0,$C$2&lt;&gt;1700,$C$2&lt;&gt;1800,$C$2&lt;&gt;1900,$C$2&lt;&gt;2100,$C$2&lt;&gt;2200),"leap year","common year")</f>
        <v>common year</v>
      </c>
      <c r="D3" s="1"/>
      <c r="F3" s="20" t="n">
        <v>0.5</v>
      </c>
      <c r="G3" s="23" t="n">
        <f aca="false">ASIN(Y3)/$C$6</f>
        <v>-18.503119516778</v>
      </c>
      <c r="H3" s="23" t="n">
        <f aca="false">G3+1.02/(TAN($C$6*(G3+10.3/(G3+5.11)))*60)</f>
        <v>-18.5517395874566</v>
      </c>
      <c r="I3" s="13" t="n">
        <f aca="false">IF(X3&gt;180,AB3-180,AB3+180)</f>
        <v>18.2680634574982</v>
      </c>
      <c r="J3" s="13" t="n">
        <f aca="false">IF(ABS(4*(N3-0.0057183-V3))&lt;20,4*(N3-0.0057183-V3),4*(N3-0.0057183-V3-360))</f>
        <v>3.58278880540229</v>
      </c>
      <c r="K3" s="30" t="n">
        <f aca="false">INT(365.25*IF($B$2&gt;2,$C$2+4716,$C$2-1+4716))+INT(30.6001*IF($B$2&gt;2,$B$2+1,$B$2+12+1))+$A$2+F3/24+2-INT(IF($B$2&gt;2,$C$2,$C$2-1)/100)+INT(INT(IF($B$2&gt;2,$C$2,$C$2-1)/100)/4)-1524.5</f>
        <v>2448395.52083333</v>
      </c>
      <c r="L3" s="21" t="n">
        <f aca="false">(K3-2451545)/36525</f>
        <v>-0.0862280401551406</v>
      </c>
      <c r="M3" s="16" t="n">
        <f aca="false">MOD(357.5291 + 35999.0503*L3 - 0.0001559*L3^2 - 0.00000048*L3^3,360)</f>
        <v>133.401544025821</v>
      </c>
      <c r="N3" s="16" t="n">
        <f aca="false">MOD(280.46645 + 36000.76983*L3 + 0.0003032*L3^2,360)</f>
        <v>56.1906257371602</v>
      </c>
      <c r="O3" s="17" t="n">
        <f aca="false"> MOD((1.9146 - 0.004817*L3 - 0.000014*L3^2)*SIN(M3*$C$6) + (0.019993 - 0.000101*L3)*SIN(2*M3*$C$6) + 0.00029*SIN(3*M3*$C$6),360)</f>
        <v>1.37158273997547</v>
      </c>
      <c r="P3" s="16" t="n">
        <f aca="false">MOD(N3+O3,360)</f>
        <v>57.5622084771357</v>
      </c>
      <c r="Q3" s="18" t="n">
        <f aca="false">COS(P3*$C$6)</f>
        <v>0.536383585685771</v>
      </c>
      <c r="R3" s="17" t="n">
        <f aca="false">COS((23.4393-46.815*L3/3600)*$C$6)*SIN(P3*PI()/180)</f>
        <v>0.774324674958109</v>
      </c>
      <c r="S3" s="17" t="n">
        <f aca="false">SIN((23.4393-46.815*L3/3600)*$C$6)*SIN(P3*$C$6)</f>
        <v>0.335728978132501</v>
      </c>
      <c r="T3" s="18" t="n">
        <f aca="false">SQRT(1-S3^2)</f>
        <v>0.941958626077657</v>
      </c>
      <c r="U3" s="16" t="n">
        <f aca="false">ATAN(S3/T3)/$C$6</f>
        <v>19.6168728171354</v>
      </c>
      <c r="V3" s="16" t="n">
        <f aca="false">IF(2*ATAN(R3/(Q3+T3))/$C$6&gt;0, 2*ATAN(R3/(Q3+T3))/$C$6, 2*ATAN(R3/(Q3+T3))/$C$6+360)</f>
        <v>55.2892102358096</v>
      </c>
      <c r="W3" s="16" t="n">
        <f aca="false">MOD(280.46061837+360.98564736629*(K3-2451545)+0.000387933*L3^2-L3^3/3871000010 + $E$2,360)</f>
        <v>253.684775500093</v>
      </c>
      <c r="X3" s="19" t="n">
        <f aca="false">IF(W3-V3&gt;0,W3-V3,W3-V3+360)</f>
        <v>198.395565264283</v>
      </c>
      <c r="Y3" s="17" t="n">
        <f aca="false">SIN($D$2*$C$6)*SIN(U3*$C$6) +COS($D$2*$C$6)*COS(U3*$C$6)*COS(X3*$C$6)</f>
        <v>-0.317356288211673</v>
      </c>
      <c r="Z3" s="31" t="n">
        <f aca="false">SIN($C$6*X3)</f>
        <v>-0.315575592296469</v>
      </c>
      <c r="AA3" s="31" t="n">
        <f aca="false">COS($C$6*X3)*SIN($C$6*$D$2) - TAN($C$6*U3)*COS($C$6*$D$2)</f>
        <v>-0.955999597356642</v>
      </c>
      <c r="AB3" s="31" t="n">
        <f aca="false">IF(OR(AND(Z3*AA3&gt;0), AND(Z3&lt;0,AA3&gt;0)), MOD(ATAN2(AA3,Z3)/$C$6+360,360),  ATAN2(AA3,Z3)/$C$6)</f>
        <v>198.268063457498</v>
      </c>
      <c r="AC3" s="21" t="n">
        <f aca="false">(100013989+1670700*COS(3.0984635 + 6283.07585*L3/10)+13956*COS(3.05525 + 12566.1517*L3/10)+3084*COS(5.1985 + 77713.7715*L3/10) +1628*COS(1.1739 + 5753.3849*L3/10)+1576*COS(2.8469 + 7860.4194*L3/10)+925*COS(5.453 + 11506.77*L3/10)+542*COS(4.564 + 3930.21*L3/10)+472*COS(3.661 + 5884.927*L3/10)+346*COS(0.964 + 5507.553*L3/10)+329*COS(5.9 + 5223.694*L3/10)+307*COS(0.299 + 5573.143*L3/10)+243*COS(4.273 + 11790.629*L3/10)+212*COS(5.847 + 1577.344*L3/10)+186*COS(5.022 + 10977.079*L3/10)+175*COS(3.012 + 18849.228*L3/10)+110*COS(5.055 + 5486.778*L3/10)+98*COS(0.89 + 6069.78*L3/10)+86*COS(5.69 + 15720.84*L3/10)+86*COS(1.27 + 161000.69*L3/10)+65*COS(0.27 + 17260.15*L3/10)+63*COS(0.92 + 529.69*L3/10)+57*COS(2.01 + 83996.85*L3/10)+56*COS(5.24 + 71430.7*L3/10)+49*COS(3.25 + 2544.31*L3/10)+47*COS(2.58 + 775.52*L3/10)+45*COS(5.54 + 9437.76*L3/10)+43*COS(6.01 + 6275.96*L3/10)+39*COS(5.36 + 4694*L3/10)+38*COS(2.39 + 8827.39*L3/10)+37*COS(0.83 + 19651.05*L3/10)+37*COS(4.9 + 12139.55*L3/10)+36*COS(1.67 + 12036.46*L3/10)+35*COS(1.84 + 2942.46*L3/10)+33*COS(0.24 + 7084.9*L3/10)+32*COS(0.18 + 5088.63*L3/10)+32*COS(1.78 + 398.15*L3/10)+28*COS(1.21 + 6286.6*L3/10)+28*COS(1.9 + 6279.55*L3/10)+26*COS(4.59 + 10447.39*L3/10) +24.6*COS(3.787 + 8429.241*L3/10)+23.6*COS(0.269 + 796.3*L3/10)+27.8*COS(1.899 + 6279.55*L3/10)+23.9*COS(4.996 + 5856.48*L3/10)+20.3*COS(4.653 + 2146.165*L3/10))/100000000 + (103019*COS(1.10749 + 6283.07585*L3/10) +1721*COS(1.0644 + 12566.1517*L3/10) +702*COS(3.142 + 0*L3/10) +32*COS(1.02 + 18849.23*L3/10) +31*COS(2.84 + 5507.55*L3/10) +25*COS(1.32 + 5223.69*L3/10) +18*COS(1.42 + 1577.34*L3/10) +10*COS(5.91 + 10977.08*L3/10) +9*COS(1.42 + 6275.96*L3/10) +9*COS(0.27 + 5486.78*L3/10))*L3/1000000000  + (4359*COS(5.7846 + 6283.0758*L3/10)*L3^2+124*COS(5.579 + 12566.152*L3/10)*L3^2)/10000000000</f>
        <v>1.01162357125382</v>
      </c>
    </row>
    <row r="4" customFormat="false" ht="15" hidden="false" customHeight="false" outlineLevel="0" collapsed="false">
      <c r="A4" s="32" t="s">
        <v>31</v>
      </c>
      <c r="B4" s="32" t="s">
        <v>31</v>
      </c>
      <c r="C4" s="32" t="s">
        <v>31</v>
      </c>
      <c r="D4" s="32" t="s">
        <v>31</v>
      </c>
      <c r="E4" s="32" t="s">
        <v>31</v>
      </c>
      <c r="F4" s="20" t="n">
        <v>1</v>
      </c>
      <c r="G4" s="23" t="n">
        <f aca="false">ASIN(Y4)/$C$6</f>
        <v>-16.7041058537535</v>
      </c>
      <c r="H4" s="23" t="n">
        <f aca="false">G4+1.02/(TAN($C$6*(G4+10.3/(G4+5.11)))*60)</f>
        <v>-16.7577210313851</v>
      </c>
      <c r="I4" s="13" t="n">
        <f aca="false">IF(X4&gt;180,AB4-180,AB4+180)</f>
        <v>25.4353667829301</v>
      </c>
      <c r="J4" s="13" t="n">
        <f aca="false">IF(ABS(4*(N4-0.0057183-V4))&lt;20,4*(N4-0.0057183-V4),4*(N4-0.0057183-V4-360))</f>
        <v>3.58194497372256</v>
      </c>
      <c r="K4" s="30" t="n">
        <f aca="false">INT(365.25*IF($B$2&gt;2,$C$2+4716,$C$2-1+4716))+INT(30.6001*IF($B$2&gt;2,$B$2+1,$B$2+12+1))+$A$2+F4/24+2-INT(IF($B$2&gt;2,$C$2,$C$2-1)/100)+INT(INT(IF($B$2&gt;2,$C$2,$C$2-1)/100)/4)-1524.5</f>
        <v>2448395.54166667</v>
      </c>
      <c r="L4" s="21" t="n">
        <f aca="false">(K4-2451545)/36525</f>
        <v>-0.0862274697695685</v>
      </c>
      <c r="M4" s="16" t="n">
        <f aca="false">MOD(357.5291 + 35999.0503*L4 - 0.0001559*L4^2 - 0.00000048*L4^3,360)</f>
        <v>133.422077364738</v>
      </c>
      <c r="N4" s="16" t="n">
        <f aca="false">MOD(280.46645 + 36000.76983*L4 + 0.0003032*L4^2,360)</f>
        <v>56.2111600568278</v>
      </c>
      <c r="O4" s="17" t="n">
        <f aca="false"> MOD((1.9146 - 0.004817*L4 - 0.000014*L4^2)*SIN(M4*$C$6) + (0.019993 - 0.000101*L4)*SIN(2*M4*$C$6) + 0.00029*SIN(3*M4*$C$6),360)</f>
        <v>1.37111053598429</v>
      </c>
      <c r="P4" s="16" t="n">
        <f aca="false">MOD(N4+O4,360)</f>
        <v>57.5822705928121</v>
      </c>
      <c r="Q4" s="18" t="n">
        <f aca="false">COS(P4*$C$6)</f>
        <v>0.536088035225189</v>
      </c>
      <c r="R4" s="17" t="n">
        <f aca="false">COS((23.4393-46.815*L4/3600)*$C$6)*SIN(P4*PI()/180)</f>
        <v>0.774496942672975</v>
      </c>
      <c r="S4" s="17" t="n">
        <f aca="false">SIN((23.4393-46.815*L4/3600)*$C$6)*SIN(P4*$C$6)</f>
        <v>0.335803669245306</v>
      </c>
      <c r="T4" s="18" t="n">
        <f aca="false">SQRT(1-S4^2)</f>
        <v>0.941932001644168</v>
      </c>
      <c r="U4" s="16" t="n">
        <f aca="false">ATAN(S4/T4)/$C$6</f>
        <v>19.6214160591534</v>
      </c>
      <c r="V4" s="16" t="n">
        <f aca="false">IF(2*ATAN(R4/(Q4+T4))/$C$6&gt;0, 2*ATAN(R4/(Q4+T4))/$C$6, 2*ATAN(R4/(Q4+T4))/$C$6+360)</f>
        <v>55.3099555133972</v>
      </c>
      <c r="W4" s="16" t="n">
        <f aca="false">MOD(280.46061837+360.98564736629*(K4-2451545)+0.000387933*L4^2-L4^3/3871000010 + $E$2,360)</f>
        <v>261.205309708137</v>
      </c>
      <c r="X4" s="19" t="n">
        <f aca="false">IF(W4-V4&gt;0,W4-V4,W4-V4+360)</f>
        <v>205.89535419474</v>
      </c>
      <c r="Y4" s="17" t="n">
        <f aca="false">SIN($D$2*$C$6)*SIN(U4*$C$6) +COS($D$2*$C$6)*COS(U4*$C$6)*COS(X4*$C$6)</f>
        <v>-0.287429157310287</v>
      </c>
      <c r="Z4" s="31" t="n">
        <f aca="false">SIN($C$6*X4)</f>
        <v>-0.4367288466508</v>
      </c>
      <c r="AA4" s="31" t="n">
        <f aca="false">COS($C$6*X4)*SIN($C$6*$D$2) - TAN($C$6*U4)*COS($C$6*$D$2)</f>
        <v>-0.918285501207222</v>
      </c>
      <c r="AB4" s="31" t="n">
        <f aca="false">IF(OR(AND(Z4*AA4&gt;0), AND(Z4&lt;0,AA4&gt;0)), MOD(ATAN2(AA4,Z4)/$C$6+360,360),  ATAN2(AA4,Z4)/$C$6)</f>
        <v>205.43536678293</v>
      </c>
      <c r="AC4" s="21" t="n">
        <f aca="false">(100013989+1670700*COS(3.0984635 + 6283.07585*L4/10)+13956*COS(3.05525 + 12566.1517*L4/10)+3084*COS(5.1985 + 77713.7715*L4/10) +1628*COS(1.1739 + 5753.3849*L4/10)+1576*COS(2.8469 + 7860.4194*L4/10)+925*COS(5.453 + 11506.77*L4/10)+542*COS(4.564 + 3930.21*L4/10)+472*COS(3.661 + 5884.927*L4/10)+346*COS(0.964 + 5507.553*L4/10)+329*COS(5.9 + 5223.694*L4/10)+307*COS(0.299 + 5573.143*L4/10)+243*COS(4.273 + 11790.629*L4/10)+212*COS(5.847 + 1577.344*L4/10)+186*COS(5.022 + 10977.079*L4/10)+175*COS(3.012 + 18849.228*L4/10)+110*COS(5.055 + 5486.778*L4/10)+98*COS(0.89 + 6069.78*L4/10)+86*COS(5.69 + 15720.84*L4/10)+86*COS(1.27 + 161000.69*L4/10)+65*COS(0.27 + 17260.15*L4/10)+63*COS(0.92 + 529.69*L4/10)+57*COS(2.01 + 83996.85*L4/10)+56*COS(5.24 + 71430.7*L4/10)+49*COS(3.25 + 2544.31*L4/10)+47*COS(2.58 + 775.52*L4/10)+45*COS(5.54 + 9437.76*L4/10)+43*COS(6.01 + 6275.96*L4/10)+39*COS(5.36 + 4694*L4/10)+38*COS(2.39 + 8827.39*L4/10)+37*COS(0.83 + 19651.05*L4/10)+37*COS(4.9 + 12139.55*L4/10)+36*COS(1.67 + 12036.46*L4/10)+35*COS(1.84 + 2942.46*L4/10)+33*COS(0.24 + 7084.9*L4/10)+32*COS(0.18 + 5088.63*L4/10)+32*COS(1.78 + 398.15*L4/10)+28*COS(1.21 + 6286.6*L4/10)+28*COS(1.9 + 6279.55*L4/10)+26*COS(4.59 + 10447.39*L4/10) +24.6*COS(3.787 + 8429.241*L4/10)+23.6*COS(0.269 + 796.3*L4/10)+27.8*COS(1.899 + 6279.55*L4/10)+23.9*COS(4.996 + 5856.48*L4/10)+20.3*COS(4.653 + 2146.165*L4/10))/100000000 + (103019*COS(1.10749 + 6283.07585*L4/10) +1721*COS(1.0644 + 12566.1517*L4/10) +702*COS(3.142 + 0*L4/10) +32*COS(1.02 + 18849.23*L4/10) +31*COS(2.84 + 5507.55*L4/10) +25*COS(1.32 + 5223.69*L4/10) +18*COS(1.42 + 1577.34*L4/10) +10*COS(5.91 + 10977.08*L4/10) +9*COS(1.42 + 6275.96*L4/10) +9*COS(0.27 + 5486.78*L4/10))*L4/1000000000  + (4359*COS(5.7846 + 6283.0758*L4/10)*L4^2+124*COS(5.579 + 12566.152*L4/10)*L4^2)/10000000000</f>
        <v>1.01162769176419</v>
      </c>
    </row>
    <row r="5" customFormat="false" ht="15" hidden="false" customHeight="false" outlineLevel="0" collapsed="false">
      <c r="D5" s="1"/>
      <c r="F5" s="20" t="n">
        <v>1.5</v>
      </c>
      <c r="G5" s="23" t="n">
        <f aca="false">ASIN(Y5)/$C$6</f>
        <v>-14.3701412982405</v>
      </c>
      <c r="H5" s="23" t="n">
        <f aca="false">G5+1.02/(TAN($C$6*(G5+10.3/(G5+5.11)))*60)</f>
        <v>-14.4315143726842</v>
      </c>
      <c r="I5" s="13" t="n">
        <f aca="false">IF(X5&gt;180,AB5-180,AB5+180)</f>
        <v>32.3560127970933</v>
      </c>
      <c r="J5" s="13" t="n">
        <f aca="false">IF(ABS(4*(N5-0.0057183-V5))&lt;20,4*(N5-0.0057183-V5),4*(N5-0.0057183-V5-360))</f>
        <v>3.58109714893078</v>
      </c>
      <c r="K5" s="30" t="n">
        <f aca="false">INT(365.25*IF($B$2&gt;2,$C$2+4716,$C$2-1+4716))+INT(30.6001*IF($B$2&gt;2,$B$2+1,$B$2+12+1))+$A$2+F5/24+2-INT(IF($B$2&gt;2,$C$2,$C$2-1)/100)+INT(INT(IF($B$2&gt;2,$C$2,$C$2-1)/100)/4)-1524.5</f>
        <v>2448395.5625</v>
      </c>
      <c r="L5" s="21" t="n">
        <f aca="false">(K5-2451545)/36525</f>
        <v>-0.0862268993839836</v>
      </c>
      <c r="M5" s="16" t="n">
        <f aca="false">MOD(357.5291 + 35999.0503*L5 - 0.0001559*L5^2 - 0.00000048*L5^3,360)</f>
        <v>133.442610704115</v>
      </c>
      <c r="N5" s="16" t="n">
        <f aca="false">MOD(280.46645 + 36000.76983*L5 + 0.0003032*L5^2,360)</f>
        <v>56.2316943769542</v>
      </c>
      <c r="O5" s="17" t="n">
        <f aca="false"> MOD((1.9146 - 0.004817*L5 - 0.000014*L5^2)*SIN(M5*$C$6) + (0.019993 - 0.000101*L5)*SIN(2*M5*$C$6) + 0.00029*SIN(3*M5*$C$6),360)</f>
        <v>1.37063816339147</v>
      </c>
      <c r="P5" s="16" t="n">
        <f aca="false">MOD(N5+O5,360)</f>
        <v>57.6023325403457</v>
      </c>
      <c r="Q5" s="18" t="n">
        <f aca="false">COS(P5*$C$6)</f>
        <v>0.535792421515398</v>
      </c>
      <c r="R5" s="17" t="n">
        <f aca="false">COS((23.4393-46.815*L5/3600)*$C$6)*SIN(P5*PI()/180)</f>
        <v>0.774669113988061</v>
      </c>
      <c r="S5" s="17" t="n">
        <f aca="false">SIN((23.4393-46.815*L5/3600)*$C$6)*SIN(P5*$C$6)</f>
        <v>0.335878318561379</v>
      </c>
      <c r="T5" s="18" t="n">
        <f aca="false">SQRT(1-S5^2)</f>
        <v>0.941905385439738</v>
      </c>
      <c r="U5" s="16" t="n">
        <f aca="false">ATAN(S5/T5)/$C$6</f>
        <v>19.6259568871268</v>
      </c>
      <c r="V5" s="16" t="n">
        <f aca="false">IF(2*ATAN(R5/(Q5+T5))/$C$6&gt;0, 2*ATAN(R5/(Q5+T5))/$C$6, 2*ATAN(R5/(Q5+T5))/$C$6+360)</f>
        <v>55.3307017897216</v>
      </c>
      <c r="W5" s="16" t="n">
        <f aca="false">MOD(280.46061837+360.98564736629*(K5-2451545)+0.000387933*L5^2-L5^3/3871000010 + $E$2,360)</f>
        <v>268.725844084285</v>
      </c>
      <c r="X5" s="19" t="n">
        <f aca="false">IF(W5-V5&gt;0,W5-V5,W5-V5+360)</f>
        <v>213.395142294564</v>
      </c>
      <c r="Y5" s="17" t="n">
        <f aca="false">SIN($D$2*$C$6)*SIN(U5*$C$6) +COS($D$2*$C$6)*COS(U5*$C$6)*COS(X5*$C$6)</f>
        <v>-0.248185093102809</v>
      </c>
      <c r="Z5" s="31" t="n">
        <f aca="false">SIN($C$6*X5)</f>
        <v>-0.550409957238661</v>
      </c>
      <c r="AA5" s="31" t="n">
        <f aca="false">COS($C$6*X5)*SIN($C$6*$D$2) - TAN($C$6*U5)*COS($C$6*$D$2)</f>
        <v>-0.868780869177549</v>
      </c>
      <c r="AB5" s="31" t="n">
        <f aca="false">IF(OR(AND(Z5*AA5&gt;0), AND(Z5&lt;0,AA5&gt;0)), MOD(ATAN2(AA5,Z5)/$C$6+360,360),  ATAN2(AA5,Z5)/$C$6)</f>
        <v>212.356012797093</v>
      </c>
      <c r="AC5" s="21" t="n">
        <f aca="false">(100013989+1670700*COS(3.0984635 + 6283.07585*L5/10)+13956*COS(3.05525 + 12566.1517*L5/10)+3084*COS(5.1985 + 77713.7715*L5/10) +1628*COS(1.1739 + 5753.3849*L5/10)+1576*COS(2.8469 + 7860.4194*L5/10)+925*COS(5.453 + 11506.77*L5/10)+542*COS(4.564 + 3930.21*L5/10)+472*COS(3.661 + 5884.927*L5/10)+346*COS(0.964 + 5507.553*L5/10)+329*COS(5.9 + 5223.694*L5/10)+307*COS(0.299 + 5573.143*L5/10)+243*COS(4.273 + 11790.629*L5/10)+212*COS(5.847 + 1577.344*L5/10)+186*COS(5.022 + 10977.079*L5/10)+175*COS(3.012 + 18849.228*L5/10)+110*COS(5.055 + 5486.778*L5/10)+98*COS(0.89 + 6069.78*L5/10)+86*COS(5.69 + 15720.84*L5/10)+86*COS(1.27 + 161000.69*L5/10)+65*COS(0.27 + 17260.15*L5/10)+63*COS(0.92 + 529.69*L5/10)+57*COS(2.01 + 83996.85*L5/10)+56*COS(5.24 + 71430.7*L5/10)+49*COS(3.25 + 2544.31*L5/10)+47*COS(2.58 + 775.52*L5/10)+45*COS(5.54 + 9437.76*L5/10)+43*COS(6.01 + 6275.96*L5/10)+39*COS(5.36 + 4694*L5/10)+38*COS(2.39 + 8827.39*L5/10)+37*COS(0.83 + 19651.05*L5/10)+37*COS(4.9 + 12139.55*L5/10)+36*COS(1.67 + 12036.46*L5/10)+35*COS(1.84 + 2942.46*L5/10)+33*COS(0.24 + 7084.9*L5/10)+32*COS(0.18 + 5088.63*L5/10)+32*COS(1.78 + 398.15*L5/10)+28*COS(1.21 + 6286.6*L5/10)+28*COS(1.9 + 6279.55*L5/10)+26*COS(4.59 + 10447.39*L5/10) +24.6*COS(3.787 + 8429.241*L5/10)+23.6*COS(0.269 + 796.3*L5/10)+27.8*COS(1.899 + 6279.55*L5/10)+23.9*COS(4.996 + 5856.48*L5/10)+20.3*COS(4.653 + 2146.165*L5/10))/100000000 + (103019*COS(1.10749 + 6283.07585*L5/10) +1721*COS(1.0644 + 12566.1517*L5/10) +702*COS(3.142 + 0*L5/10) +32*COS(1.02 + 18849.23*L5/10) +31*COS(2.84 + 5507.55*L5/10) +25*COS(1.32 + 5223.69*L5/10) +18*COS(1.42 + 1577.34*L5/10) +10*COS(5.91 + 10977.08*L5/10) +9*COS(1.42 + 6275.96*L5/10) +9*COS(0.27 + 5486.78*L5/10))*L5/1000000000  + (4359*COS(5.7846 + 6283.0758*L5/10)*L5^2+124*COS(5.579 + 12566.152*L5/10)*L5^2)/10000000000</f>
        <v>1.01163181051409</v>
      </c>
    </row>
    <row r="6" customFormat="false" ht="15" hidden="false" customHeight="false" outlineLevel="0" collapsed="false">
      <c r="C6" s="33" t="n">
        <f aca="false">PI()/180</f>
        <v>0.0174532925199433</v>
      </c>
      <c r="D6" s="1"/>
      <c r="F6" s="20" t="n">
        <v>2</v>
      </c>
      <c r="G6" s="23" t="n">
        <f aca="false">ASIN(Y6)/$C$6</f>
        <v>-11.5542142713349</v>
      </c>
      <c r="H6" s="23" t="n">
        <f aca="false">G6+1.02/(TAN($C$6*(G6+10.3/(G6+5.11)))*60)</f>
        <v>-11.6269651097857</v>
      </c>
      <c r="I6" s="13" t="n">
        <f aca="false">IF(X6&gt;180,AB6-180,AB6+180)</f>
        <v>39.004204139751</v>
      </c>
      <c r="J6" s="13" t="n">
        <f aca="false">IF(ABS(4*(N6-0.0057183-V6))&lt;20,4*(N6-0.0057183-V6),4*(N6-0.0057183-V6-360))</f>
        <v>3.58024533192705</v>
      </c>
      <c r="K6" s="30" t="n">
        <f aca="false">INT(365.25*IF($B$2&gt;2,$C$2+4716,$C$2-1+4716))+INT(30.6001*IF($B$2&gt;2,$B$2+1,$B$2+12+1))+$A$2+F6/24+2-INT(IF($B$2&gt;2,$C$2,$C$2-1)/100)+INT(INT(IF($B$2&gt;2,$C$2,$C$2-1)/100)/4)-1524.5</f>
        <v>2448395.58333333</v>
      </c>
      <c r="L6" s="21" t="n">
        <f aca="false">(K6-2451545)/36525</f>
        <v>-0.0862263289983987</v>
      </c>
      <c r="M6" s="16" t="n">
        <f aca="false">MOD(357.5291 + 35999.0503*L6 - 0.0001559*L6^2 - 0.00000048*L6^3,360)</f>
        <v>133.463144043492</v>
      </c>
      <c r="N6" s="16" t="n">
        <f aca="false">MOD(280.46645 + 36000.76983*L6 + 0.0003032*L6^2,360)</f>
        <v>56.2522286970807</v>
      </c>
      <c r="O6" s="17" t="n">
        <f aca="false"> MOD((1.9146 - 0.004817*L6 - 0.000014*L6^2)*SIN(M6*$C$6) + (0.019993 - 0.000101*L6)*SIN(2*M6*$C$6) + 0.00029*SIN(3*M6*$C$6),360)</f>
        <v>1.37016562226832</v>
      </c>
      <c r="P6" s="16" t="n">
        <f aca="false">MOD(N6+O6,360)</f>
        <v>57.622394319349</v>
      </c>
      <c r="Q6" s="18" t="n">
        <f aca="false">COS(P6*$C$6)</f>
        <v>0.535496744600006</v>
      </c>
      <c r="R6" s="17" t="n">
        <f aca="false">COS((23.4393-46.815*L6/3600)*$C$6)*SIN(P6*PI()/180)</f>
        <v>0.774841188881321</v>
      </c>
      <c r="S6" s="17" t="n">
        <f aca="false">SIN((23.4393-46.815*L6/3600)*$C$6)*SIN(P6*$C$6)</f>
        <v>0.335952926071162</v>
      </c>
      <c r="T6" s="18" t="n">
        <f aca="false">SQRT(1-S6^2)</f>
        <v>0.94187877747841</v>
      </c>
      <c r="U6" s="16" t="n">
        <f aca="false">ATAN(S6/T6)/$C$6</f>
        <v>19.6304953002979</v>
      </c>
      <c r="V6" s="16" t="n">
        <f aca="false">IF(2*ATAN(R6/(Q6+T6))/$C$6&gt;0, 2*ATAN(R6/(Q6+T6))/$C$6, 2*ATAN(R6/(Q6+T6))/$C$6+360)</f>
        <v>55.3514490640989</v>
      </c>
      <c r="W6" s="16" t="n">
        <f aca="false">MOD(280.46061837+360.98564736629*(K6-2451545)+0.000387933*L6^2-L6^3/3871000010 + $E$2,360)</f>
        <v>276.246378460433</v>
      </c>
      <c r="X6" s="19" t="n">
        <f aca="false">IF(W6-V6&gt;0,W6-V6,W6-V6+360)</f>
        <v>220.894929396334</v>
      </c>
      <c r="Y6" s="17" t="n">
        <f aca="false">SIN($D$2*$C$6)*SIN(U6*$C$6) +COS($D$2*$C$6)*COS(U6*$C$6)*COS(X6*$C$6)</f>
        <v>-0.200295066968861</v>
      </c>
      <c r="Z6" s="31" t="n">
        <f aca="false">SIN($C$6*X6)</f>
        <v>-0.654673919082102</v>
      </c>
      <c r="AA6" s="31" t="n">
        <f aca="false">COS($C$6*X6)*SIN($C$6*$D$2) - TAN($C$6*U6)*COS($C$6*$D$2)</f>
        <v>-0.808333679063993</v>
      </c>
      <c r="AB6" s="31" t="n">
        <f aca="false">IF(OR(AND(Z6*AA6&gt;0), AND(Z6&lt;0,AA6&gt;0)), MOD(ATAN2(AA6,Z6)/$C$6+360,360),  ATAN2(AA6,Z6)/$C$6)</f>
        <v>219.004204139751</v>
      </c>
      <c r="AC6" s="21" t="n">
        <f aca="false">(100013989+1670700*COS(3.0984635 + 6283.07585*L6/10)+13956*COS(3.05525 + 12566.1517*L6/10)+3084*COS(5.1985 + 77713.7715*L6/10) +1628*COS(1.1739 + 5753.3849*L6/10)+1576*COS(2.8469 + 7860.4194*L6/10)+925*COS(5.453 + 11506.77*L6/10)+542*COS(4.564 + 3930.21*L6/10)+472*COS(3.661 + 5884.927*L6/10)+346*COS(0.964 + 5507.553*L6/10)+329*COS(5.9 + 5223.694*L6/10)+307*COS(0.299 + 5573.143*L6/10)+243*COS(4.273 + 11790.629*L6/10)+212*COS(5.847 + 1577.344*L6/10)+186*COS(5.022 + 10977.079*L6/10)+175*COS(3.012 + 18849.228*L6/10)+110*COS(5.055 + 5486.778*L6/10)+98*COS(0.89 + 6069.78*L6/10)+86*COS(5.69 + 15720.84*L6/10)+86*COS(1.27 + 161000.69*L6/10)+65*COS(0.27 + 17260.15*L6/10)+63*COS(0.92 + 529.69*L6/10)+57*COS(2.01 + 83996.85*L6/10)+56*COS(5.24 + 71430.7*L6/10)+49*COS(3.25 + 2544.31*L6/10)+47*COS(2.58 + 775.52*L6/10)+45*COS(5.54 + 9437.76*L6/10)+43*COS(6.01 + 6275.96*L6/10)+39*COS(5.36 + 4694*L6/10)+38*COS(2.39 + 8827.39*L6/10)+37*COS(0.83 + 19651.05*L6/10)+37*COS(4.9 + 12139.55*L6/10)+36*COS(1.67 + 12036.46*L6/10)+35*COS(1.84 + 2942.46*L6/10)+33*COS(0.24 + 7084.9*L6/10)+32*COS(0.18 + 5088.63*L6/10)+32*COS(1.78 + 398.15*L6/10)+28*COS(1.21 + 6286.6*L6/10)+28*COS(1.9 + 6279.55*L6/10)+26*COS(4.59 + 10447.39*L6/10) +24.6*COS(3.787 + 8429.241*L6/10)+23.6*COS(0.269 + 796.3*L6/10)+27.8*COS(1.899 + 6279.55*L6/10)+23.9*COS(4.996 + 5856.48*L6/10)+20.3*COS(4.653 + 2146.165*L6/10))/100000000 + (103019*COS(1.10749 + 6283.07585*L6/10) +1721*COS(1.0644 + 12566.1517*L6/10) +702*COS(3.142 + 0*L6/10) +32*COS(1.02 + 18849.23*L6/10) +31*COS(2.84 + 5507.55*L6/10) +25*COS(1.32 + 5223.69*L6/10) +18*COS(1.42 + 1577.34*L6/10) +10*COS(5.91 + 10977.08*L6/10) +9*COS(1.42 + 6275.96*L6/10) +9*COS(0.27 + 5486.78*L6/10))*L6/1000000000  + (4359*COS(5.7846 + 6283.0758*L6/10)*L6^2+124*COS(5.579 + 12566.152*L6/10)*L6^2)/10000000000</f>
        <v>1.01163592750598</v>
      </c>
    </row>
    <row r="7" customFormat="false" ht="15" hidden="false" customHeight="false" outlineLevel="0" collapsed="false">
      <c r="C7" s="5" t="s">
        <v>32</v>
      </c>
      <c r="D7" s="1"/>
      <c r="F7" s="20" t="n">
        <v>2.5</v>
      </c>
      <c r="G7" s="23" t="n">
        <f aca="false">ASIN(Y7)/$C$6</f>
        <v>-8.31283911613921</v>
      </c>
      <c r="H7" s="23" t="n">
        <f aca="false">G7+1.02/(TAN($C$6*(G7+10.3/(G7+5.11)))*60)</f>
        <v>-8.39618280665652</v>
      </c>
      <c r="I7" s="13" t="n">
        <f aca="false">IF(X7&gt;180,AB7-180,AB7+180)</f>
        <v>45.3762955103073</v>
      </c>
      <c r="J7" s="13" t="n">
        <f aca="false">IF(ABS(4*(N7-0.0057183-V7))&lt;20,4*(N7-0.0057183-V7),4*(N7-0.0057183-V7-360))</f>
        <v>3.57938952361425</v>
      </c>
      <c r="K7" s="30" t="n">
        <f aca="false">INT(365.25*IF($B$2&gt;2,$C$2+4716,$C$2-1+4716))+INT(30.6001*IF($B$2&gt;2,$B$2+1,$B$2+12+1))+$A$2+F7/24+2-INT(IF($B$2&gt;2,$C$2,$C$2-1)/100)+INT(INT(IF($B$2&gt;2,$C$2,$C$2-1)/100)/4)-1524.5</f>
        <v>2448395.60416667</v>
      </c>
      <c r="L7" s="21" t="n">
        <f aca="false">(K7-2451545)/36525</f>
        <v>-0.0862257586128265</v>
      </c>
      <c r="M7" s="16" t="n">
        <f aca="false">MOD(357.5291 + 35999.0503*L7 - 0.0001559*L7^2 - 0.00000048*L7^3,360)</f>
        <v>133.48367738241</v>
      </c>
      <c r="N7" s="16" t="n">
        <f aca="false">MOD(280.46645 + 36000.76983*L7 + 0.0003032*L7^2,360)</f>
        <v>56.2727630167487</v>
      </c>
      <c r="O7" s="17" t="n">
        <f aca="false"> MOD((1.9146 - 0.004817*L7 - 0.000014*L7^2)*SIN(M7*$C$6) + (0.019993 - 0.000101*L7)*SIN(2*M7*$C$6) + 0.00029*SIN(3*M7*$C$6),360)</f>
        <v>1.36969291268615</v>
      </c>
      <c r="P7" s="16" t="n">
        <f aca="false">MOD(N7+O7,360)</f>
        <v>57.6424559294349</v>
      </c>
      <c r="Q7" s="18" t="n">
        <f aca="false">COS(P7*$C$6)</f>
        <v>0.535201004522627</v>
      </c>
      <c r="R7" s="17" t="n">
        <f aca="false">COS((23.4393-46.815*L7/3600)*$C$6)*SIN(P7*PI()/180)</f>
        <v>0.775013167330737</v>
      </c>
      <c r="S7" s="17" t="n">
        <f aca="false">SIN((23.4393-46.815*L7/3600)*$C$6)*SIN(P7*$C$6)</f>
        <v>0.336027491765108</v>
      </c>
      <c r="T7" s="18" t="n">
        <f aca="false">SQRT(1-S7^2)</f>
        <v>0.941852177774225</v>
      </c>
      <c r="U7" s="16" t="n">
        <f aca="false">ATAN(S7/T7)/$C$6</f>
        <v>19.6350312979099</v>
      </c>
      <c r="V7" s="16" t="n">
        <f aca="false">IF(2*ATAN(R7/(Q7+T7))/$C$6&gt;0, 2*ATAN(R7/(Q7+T7))/$C$6, 2*ATAN(R7/(Q7+T7))/$C$6+360)</f>
        <v>55.3721973358452</v>
      </c>
      <c r="W7" s="16" t="n">
        <f aca="false">MOD(280.46061837+360.98564736629*(K7-2451545)+0.000387933*L7^2-L7^3/3871000010 + $E$2,360)</f>
        <v>283.766912668711</v>
      </c>
      <c r="X7" s="19" t="n">
        <f aca="false">IF(W7-V7&gt;0,W7-V7,W7-V7+360)</f>
        <v>228.394715332865</v>
      </c>
      <c r="Y7" s="17" t="n">
        <f aca="false">SIN($D$2*$C$6)*SIN(U7*$C$6) +COS($D$2*$C$6)*COS(U7*$C$6)*COS(X7*$C$6)</f>
        <v>-0.144577935112458</v>
      </c>
      <c r="Z7" s="31" t="n">
        <f aca="false">SIN($C$6*X7)</f>
        <v>-0.747736850188855</v>
      </c>
      <c r="AA7" s="31" t="n">
        <f aca="false">COS($C$6*X7)*SIN($C$6*$D$2) - TAN($C$6*U7)*COS($C$6*$D$2)</f>
        <v>-0.737979128149196</v>
      </c>
      <c r="AB7" s="31" t="n">
        <f aca="false">IF(OR(AND(Z7*AA7&gt;0), AND(Z7&lt;0,AA7&gt;0)), MOD(ATAN2(AA7,Z7)/$C$6+360,360),  ATAN2(AA7,Z7)/$C$6)</f>
        <v>225.376295510307</v>
      </c>
      <c r="AC7" s="21" t="n">
        <f aca="false">(100013989+1670700*COS(3.0984635 + 6283.07585*L7/10)+13956*COS(3.05525 + 12566.1517*L7/10)+3084*COS(5.1985 + 77713.7715*L7/10) +1628*COS(1.1739 + 5753.3849*L7/10)+1576*COS(2.8469 + 7860.4194*L7/10)+925*COS(5.453 + 11506.77*L7/10)+542*COS(4.564 + 3930.21*L7/10)+472*COS(3.661 + 5884.927*L7/10)+346*COS(0.964 + 5507.553*L7/10)+329*COS(5.9 + 5223.694*L7/10)+307*COS(0.299 + 5573.143*L7/10)+243*COS(4.273 + 11790.629*L7/10)+212*COS(5.847 + 1577.344*L7/10)+186*COS(5.022 + 10977.079*L7/10)+175*COS(3.012 + 18849.228*L7/10)+110*COS(5.055 + 5486.778*L7/10)+98*COS(0.89 + 6069.78*L7/10)+86*COS(5.69 + 15720.84*L7/10)+86*COS(1.27 + 161000.69*L7/10)+65*COS(0.27 + 17260.15*L7/10)+63*COS(0.92 + 529.69*L7/10)+57*COS(2.01 + 83996.85*L7/10)+56*COS(5.24 + 71430.7*L7/10)+49*COS(3.25 + 2544.31*L7/10)+47*COS(2.58 + 775.52*L7/10)+45*COS(5.54 + 9437.76*L7/10)+43*COS(6.01 + 6275.96*L7/10)+39*COS(5.36 + 4694*L7/10)+38*COS(2.39 + 8827.39*L7/10)+37*COS(0.83 + 19651.05*L7/10)+37*COS(4.9 + 12139.55*L7/10)+36*COS(1.67 + 12036.46*L7/10)+35*COS(1.84 + 2942.46*L7/10)+33*COS(0.24 + 7084.9*L7/10)+32*COS(0.18 + 5088.63*L7/10)+32*COS(1.78 + 398.15*L7/10)+28*COS(1.21 + 6286.6*L7/10)+28*COS(1.9 + 6279.55*L7/10)+26*COS(4.59 + 10447.39*L7/10) +24.6*COS(3.787 + 8429.241*L7/10)+23.6*COS(0.269 + 796.3*L7/10)+27.8*COS(1.899 + 6279.55*L7/10)+23.9*COS(4.996 + 5856.48*L7/10)+20.3*COS(4.653 + 2146.165*L7/10))/100000000 + (103019*COS(1.10749 + 6283.07585*L7/10) +1721*COS(1.0644 + 12566.1517*L7/10) +702*COS(3.142 + 0*L7/10) +32*COS(1.02 + 18849.23*L7/10) +31*COS(2.84 + 5507.55*L7/10) +25*COS(1.32 + 5223.69*L7/10) +18*COS(1.42 + 1577.34*L7/10) +10*COS(5.91 + 10977.08*L7/10) +9*COS(1.42 + 6275.96*L7/10) +9*COS(0.27 + 5486.78*L7/10))*L7/1000000000  + (4359*COS(5.7846 + 6283.0758*L7/10)*L7^2+124*COS(5.579 + 12566.152*L7/10)*L7^2)/10000000000</f>
        <v>1.01164004274233</v>
      </c>
    </row>
    <row r="8" customFormat="false" ht="15" hidden="false" customHeight="false" outlineLevel="0" collapsed="false">
      <c r="D8" s="1"/>
      <c r="F8" s="20" t="n">
        <v>3</v>
      </c>
      <c r="G8" s="23" t="n">
        <f aca="false">ASIN(Y8)/$C$6</f>
        <v>-4.70275414989757</v>
      </c>
      <c r="H8" s="23" t="n">
        <f aca="false">G8+1.02/(TAN($C$6*(G8+10.3/(G8+5.11)))*60)</f>
        <v>-4.65750022893568</v>
      </c>
      <c r="I8" s="13" t="n">
        <f aca="false">IF(X8&gt;180,AB8-180,AB8+180)</f>
        <v>51.4874660187218</v>
      </c>
      <c r="J8" s="13" t="n">
        <f aca="false">IF(ABS(4*(N8-0.0057183-V8))&lt;20,4*(N8-0.0057183-V8),4*(N8-0.0057183-V8-360))</f>
        <v>3.57852972484065</v>
      </c>
      <c r="K8" s="30" t="n">
        <f aca="false">INT(365.25*IF($B$2&gt;2,$C$2+4716,$C$2-1+4716))+INT(30.6001*IF($B$2&gt;2,$B$2+1,$B$2+12+1))+$A$2+F8/24+2-INT(IF($B$2&gt;2,$C$2,$C$2-1)/100)+INT(INT(IF($B$2&gt;2,$C$2,$C$2-1)/100)/4)-1524.5</f>
        <v>2448395.625</v>
      </c>
      <c r="L8" s="21" t="n">
        <f aca="false">(K8-2451545)/36525</f>
        <v>-0.0862251882272416</v>
      </c>
      <c r="M8" s="16" t="n">
        <f aca="false">MOD(357.5291 + 35999.0503*L8 - 0.0001559*L8^2 - 0.00000048*L8^3,360)</f>
        <v>133.504210721786</v>
      </c>
      <c r="N8" s="16" t="n">
        <f aca="false">MOD(280.46645 + 36000.76983*L8 + 0.0003032*L8^2,360)</f>
        <v>56.2932973368756</v>
      </c>
      <c r="O8" s="17" t="n">
        <f aca="false"> MOD((1.9146 - 0.004817*L8 - 0.000014*L8^2)*SIN(M8*$C$6) + (0.019993 - 0.000101*L8)*SIN(2*M8*$C$6) + 0.00029*SIN(3*M8*$C$6),360)</f>
        <v>1.3692200346846</v>
      </c>
      <c r="P8" s="16" t="n">
        <f aca="false">MOD(N8+O8,360)</f>
        <v>57.6625173715602</v>
      </c>
      <c r="Q8" s="18" t="n">
        <f aca="false">COS(P8*$C$6)</f>
        <v>0.534905201307064</v>
      </c>
      <c r="R8" s="17" t="n">
        <f aca="false">COS((23.4393-46.815*L8/3600)*$C$6)*SIN(P8*PI()/180)</f>
        <v>0.775185049325819</v>
      </c>
      <c r="S8" s="17" t="n">
        <f aca="false">SIN((23.4393-46.815*L8/3600)*$C$6)*SIN(P8*$C$6)</f>
        <v>0.33610201563867</v>
      </c>
      <c r="T8" s="18" t="n">
        <f aca="false">SQRT(1-S8^2)</f>
        <v>0.941825586339436</v>
      </c>
      <c r="U8" s="16" t="n">
        <f aca="false">ATAN(S8/T8)/$C$6</f>
        <v>19.6395648795099</v>
      </c>
      <c r="V8" s="16" t="n">
        <f aca="false">IF(2*ATAN(R8/(Q8+T8))/$C$6&gt;0, 2*ATAN(R8/(Q8+T8))/$C$6, 2*ATAN(R8/(Q8+T8))/$C$6+360)</f>
        <v>55.3929466056655</v>
      </c>
      <c r="W8" s="16" t="n">
        <f aca="false">MOD(280.46061837+360.98564736629*(K8-2451545)+0.000387933*L8^2-L8^3/3871000010 + $E$2,360)</f>
        <v>291.287447044859</v>
      </c>
      <c r="X8" s="19" t="n">
        <f aca="false">IF(W8-V8&gt;0,W8-V8,W8-V8+360)</f>
        <v>235.894500439193</v>
      </c>
      <c r="Y8" s="17" t="n">
        <f aca="false">SIN($D$2*$C$6)*SIN(U8*$C$6) +COS($D$2*$C$6)*COS(U8*$C$6)*COS(X8*$C$6)</f>
        <v>-0.0819864158817652</v>
      </c>
      <c r="Z8" s="31" t="n">
        <f aca="false">SIN($C$6*X8)</f>
        <v>-0.828006517625501</v>
      </c>
      <c r="AA8" s="31" t="n">
        <f aca="false">COS($C$6*X8)*SIN($C$6*$D$2) - TAN($C$6*U8)*COS($C$6*$D$2)</f>
        <v>-0.658921915752928</v>
      </c>
      <c r="AB8" s="31" t="n">
        <f aca="false">IF(OR(AND(Z8*AA8&gt;0), AND(Z8&lt;0,AA8&gt;0)), MOD(ATAN2(AA8,Z8)/$C$6+360,360),  ATAN2(AA8,Z8)/$C$6)</f>
        <v>231.487466018722</v>
      </c>
      <c r="AC8" s="21" t="n">
        <f aca="false">(100013989+1670700*COS(3.0984635 + 6283.07585*L8/10)+13956*COS(3.05525 + 12566.1517*L8/10)+3084*COS(5.1985 + 77713.7715*L8/10) +1628*COS(1.1739 + 5753.3849*L8/10)+1576*COS(2.8469 + 7860.4194*L8/10)+925*COS(5.453 + 11506.77*L8/10)+542*COS(4.564 + 3930.21*L8/10)+472*COS(3.661 + 5884.927*L8/10)+346*COS(0.964 + 5507.553*L8/10)+329*COS(5.9 + 5223.694*L8/10)+307*COS(0.299 + 5573.143*L8/10)+243*COS(4.273 + 11790.629*L8/10)+212*COS(5.847 + 1577.344*L8/10)+186*COS(5.022 + 10977.079*L8/10)+175*COS(3.012 + 18849.228*L8/10)+110*COS(5.055 + 5486.778*L8/10)+98*COS(0.89 + 6069.78*L8/10)+86*COS(5.69 + 15720.84*L8/10)+86*COS(1.27 + 161000.69*L8/10)+65*COS(0.27 + 17260.15*L8/10)+63*COS(0.92 + 529.69*L8/10)+57*COS(2.01 + 83996.85*L8/10)+56*COS(5.24 + 71430.7*L8/10)+49*COS(3.25 + 2544.31*L8/10)+47*COS(2.58 + 775.52*L8/10)+45*COS(5.54 + 9437.76*L8/10)+43*COS(6.01 + 6275.96*L8/10)+39*COS(5.36 + 4694*L8/10)+38*COS(2.39 + 8827.39*L8/10)+37*COS(0.83 + 19651.05*L8/10)+37*COS(4.9 + 12139.55*L8/10)+36*COS(1.67 + 12036.46*L8/10)+35*COS(1.84 + 2942.46*L8/10)+33*COS(0.24 + 7084.9*L8/10)+32*COS(0.18 + 5088.63*L8/10)+32*COS(1.78 + 398.15*L8/10)+28*COS(1.21 + 6286.6*L8/10)+28*COS(1.9 + 6279.55*L8/10)+26*COS(4.59 + 10447.39*L8/10) +24.6*COS(3.787 + 8429.241*L8/10)+23.6*COS(0.269 + 796.3*L8/10)+27.8*COS(1.899 + 6279.55*L8/10)+23.9*COS(4.996 + 5856.48*L8/10)+20.3*COS(4.653 + 2146.165*L8/10))/100000000 + (103019*COS(1.10749 + 6283.07585*L8/10) +1721*COS(1.0644 + 12566.1517*L8/10) +702*COS(3.142 + 0*L8/10) +32*COS(1.02 + 18849.23*L8/10) +31*COS(2.84 + 5507.55*L8/10) +25*COS(1.32 + 5223.69*L8/10) +18*COS(1.42 + 1577.34*L8/10) +10*COS(5.91 + 10977.08*L8/10) +9*COS(1.42 + 6275.96*L8/10) +9*COS(0.27 + 5486.78*L8/10))*L8/1000000000  + (4359*COS(5.7846 + 6283.0758*L8/10)*L8^2+124*COS(5.579 + 12566.152*L8/10)*L8^2)/10000000000</f>
        <v>1.01164415622587</v>
      </c>
    </row>
    <row r="9" customFormat="false" ht="15" hidden="false" customHeight="false" outlineLevel="0" collapsed="false">
      <c r="D9" s="1"/>
      <c r="F9" s="20" t="n">
        <v>3.5</v>
      </c>
      <c r="G9" s="23" t="n">
        <f aca="false">ASIN(Y9)/$C$6</f>
        <v>-0.778718864705485</v>
      </c>
      <c r="H9" s="23" t="n">
        <f aca="false">G9+1.02/(TAN($C$6*(G9+10.3/(G9+5.11)))*60)</f>
        <v>-0.169854523748074</v>
      </c>
      <c r="I9" s="13" t="n">
        <f aca="false">IF(X9&gt;180,AB9-180,AB9+180)</f>
        <v>57.3677789600879</v>
      </c>
      <c r="J9" s="13" t="n">
        <f aca="false">IF(ABS(4*(N9-0.0057183-V9))&lt;20,4*(N9-0.0057183-V9),4*(N9-0.0057183-V9-360))</f>
        <v>3.57766593651448</v>
      </c>
      <c r="K9" s="30" t="n">
        <f aca="false">INT(365.25*IF($B$2&gt;2,$C$2+4716,$C$2-1+4716))+INT(30.6001*IF($B$2&gt;2,$B$2+1,$B$2+12+1))+$A$2+F9/24+2-INT(IF($B$2&gt;2,$C$2,$C$2-1)/100)+INT(INT(IF($B$2&gt;2,$C$2,$C$2-1)/100)/4)-1524.5</f>
        <v>2448395.64583333</v>
      </c>
      <c r="L9" s="21" t="n">
        <f aca="false">(K9-2451545)/36525</f>
        <v>-0.0862246178416567</v>
      </c>
      <c r="M9" s="16" t="n">
        <f aca="false">MOD(357.5291 + 35999.0503*L9 - 0.0001559*L9^2 - 0.00000048*L9^3,360)</f>
        <v>133.524744061163</v>
      </c>
      <c r="N9" s="16" t="n">
        <f aca="false">MOD(280.46645 + 36000.76983*L9 + 0.0003032*L9^2,360)</f>
        <v>56.3138316570016</v>
      </c>
      <c r="O9" s="17" t="n">
        <f aca="false"> MOD((1.9146 - 0.004817*L9 - 0.000014*L9^2)*SIN(M9*$C$6) + (0.019993 - 0.000101*L9)*SIN(2*M9*$C$6) + 0.00029*SIN(3*M9*$C$6),360)</f>
        <v>1.368746988335</v>
      </c>
      <c r="P9" s="16" t="n">
        <f aca="false">MOD(N9+O9,360)</f>
        <v>57.6825786453366</v>
      </c>
      <c r="Q9" s="18" t="n">
        <f aca="false">COS(P9*$C$6)</f>
        <v>0.534609334996958</v>
      </c>
      <c r="R9" s="17" t="n">
        <f aca="false">COS((23.4393-46.815*L9/3600)*$C$6)*SIN(P9*PI()/180)</f>
        <v>0.775356834844558</v>
      </c>
      <c r="S9" s="17" t="n">
        <f aca="false">SIN((23.4393-46.815*L9/3600)*$C$6)*SIN(P9*$C$6)</f>
        <v>0.336176497682303</v>
      </c>
      <c r="T9" s="18" t="n">
        <f aca="false">SQRT(1-S9^2)</f>
        <v>0.941799003188079</v>
      </c>
      <c r="U9" s="16" t="n">
        <f aca="false">ATAN(S9/T9)/$C$6</f>
        <v>19.644096044341</v>
      </c>
      <c r="V9" s="16" t="n">
        <f aca="false">IF(2*ATAN(R9/(Q9+T9))/$C$6&gt;0, 2*ATAN(R9/(Q9+T9))/$C$6, 2*ATAN(R9/(Q9+T9))/$C$6+360)</f>
        <v>55.413696872873</v>
      </c>
      <c r="W9" s="16" t="n">
        <f aca="false">MOD(280.46061837+360.98564736629*(K9-2451545)+0.000387933*L9^2-L9^3/3871000010 + $E$2,360)</f>
        <v>298.807981420774</v>
      </c>
      <c r="X9" s="19" t="n">
        <f aca="false">IF(W9-V9&gt;0,W9-V9,W9-V9+360)</f>
        <v>243.394284547901</v>
      </c>
      <c r="Y9" s="17" t="n">
        <f aca="false">SIN($D$2*$C$6)*SIN(U9*$C$6) +COS($D$2*$C$6)*COS(U9*$C$6)*COS(X9*$C$6)</f>
        <v>-0.013590789710247</v>
      </c>
      <c r="Z9" s="31" t="n">
        <f aca="false">SIN($C$6*X9)</f>
        <v>-0.894109566873609</v>
      </c>
      <c r="AA9" s="31" t="n">
        <f aca="false">COS($C$6*X9)*SIN($C$6*$D$2) - TAN($C$6*U9)*COS($C$6*$D$2)</f>
        <v>-0.572515640930812</v>
      </c>
      <c r="AB9" s="31" t="n">
        <f aca="false">IF(OR(AND(Z9*AA9&gt;0), AND(Z9&lt;0,AA9&gt;0)), MOD(ATAN2(AA9,Z9)/$C$6+360,360),  ATAN2(AA9,Z9)/$C$6)</f>
        <v>237.367778960088</v>
      </c>
      <c r="AC9" s="21" t="n">
        <f aca="false">(100013989+1670700*COS(3.0984635 + 6283.07585*L9/10)+13956*COS(3.05525 + 12566.1517*L9/10)+3084*COS(5.1985 + 77713.7715*L9/10) +1628*COS(1.1739 + 5753.3849*L9/10)+1576*COS(2.8469 + 7860.4194*L9/10)+925*COS(5.453 + 11506.77*L9/10)+542*COS(4.564 + 3930.21*L9/10)+472*COS(3.661 + 5884.927*L9/10)+346*COS(0.964 + 5507.553*L9/10)+329*COS(5.9 + 5223.694*L9/10)+307*COS(0.299 + 5573.143*L9/10)+243*COS(4.273 + 11790.629*L9/10)+212*COS(5.847 + 1577.344*L9/10)+186*COS(5.022 + 10977.079*L9/10)+175*COS(3.012 + 18849.228*L9/10)+110*COS(5.055 + 5486.778*L9/10)+98*COS(0.89 + 6069.78*L9/10)+86*COS(5.69 + 15720.84*L9/10)+86*COS(1.27 + 161000.69*L9/10)+65*COS(0.27 + 17260.15*L9/10)+63*COS(0.92 + 529.69*L9/10)+57*COS(2.01 + 83996.85*L9/10)+56*COS(5.24 + 71430.7*L9/10)+49*COS(3.25 + 2544.31*L9/10)+47*COS(2.58 + 775.52*L9/10)+45*COS(5.54 + 9437.76*L9/10)+43*COS(6.01 + 6275.96*L9/10)+39*COS(5.36 + 4694*L9/10)+38*COS(2.39 + 8827.39*L9/10)+37*COS(0.83 + 19651.05*L9/10)+37*COS(4.9 + 12139.55*L9/10)+36*COS(1.67 + 12036.46*L9/10)+35*COS(1.84 + 2942.46*L9/10)+33*COS(0.24 + 7084.9*L9/10)+32*COS(0.18 + 5088.63*L9/10)+32*COS(1.78 + 398.15*L9/10)+28*COS(1.21 + 6286.6*L9/10)+28*COS(1.9 + 6279.55*L9/10)+26*COS(4.59 + 10447.39*L9/10) +24.6*COS(3.787 + 8429.241*L9/10)+23.6*COS(0.269 + 796.3*L9/10)+27.8*COS(1.899 + 6279.55*L9/10)+23.9*COS(4.996 + 5856.48*L9/10)+20.3*COS(4.653 + 2146.165*L9/10))/100000000 + (103019*COS(1.10749 + 6283.07585*L9/10) +1721*COS(1.0644 + 12566.1517*L9/10) +702*COS(3.142 + 0*L9/10) +32*COS(1.02 + 18849.23*L9/10) +31*COS(2.84 + 5507.55*L9/10) +25*COS(1.32 + 5223.69*L9/10) +18*COS(1.42 + 1577.34*L9/10) +10*COS(5.91 + 10977.08*L9/10) +9*COS(1.42 + 6275.96*L9/10) +9*COS(0.27 + 5486.78*L9/10))*L9/1000000000  + (4359*COS(5.7846 + 6283.0758*L9/10)*L9^2+124*COS(5.579 + 12566.152*L9/10)*L9^2)/10000000000</f>
        <v>1.01164826795909</v>
      </c>
    </row>
    <row r="10" customFormat="false" ht="15" hidden="false" customHeight="false" outlineLevel="0" collapsed="false">
      <c r="D10" s="1"/>
      <c r="F10" s="20" t="n">
        <v>4</v>
      </c>
      <c r="G10" s="23" t="n">
        <f aca="false">ASIN(Y10)/$C$6</f>
        <v>3.40763658109366</v>
      </c>
      <c r="H10" s="23" t="n">
        <f aca="false">G10+1.02/(TAN($C$6*(G10+10.3/(G10+5.11)))*60)</f>
        <v>3.61815030533802</v>
      </c>
      <c r="I10" s="13" t="n">
        <f aca="false">IF(X10&gt;180,AB10-180,AB10+180)</f>
        <v>63.0586927390862</v>
      </c>
      <c r="J10" s="13" t="n">
        <f aca="false">IF(ABS(4*(N10-0.0057183-V10))&lt;20,4*(N10-0.0057183-V10),4*(N10-0.0057183-V10-360))</f>
        <v>3.5767981595466</v>
      </c>
      <c r="K10" s="30" t="n">
        <f aca="false">INT(365.25*IF($B$2&gt;2,$C$2+4716,$C$2-1+4716))+INT(30.6001*IF($B$2&gt;2,$B$2+1,$B$2+12+1))+$A$2+F10/24+2-INT(IF($B$2&gt;2,$C$2,$C$2-1)/100)+INT(INT(IF($B$2&gt;2,$C$2,$C$2-1)/100)/4)-1524.5</f>
        <v>2448395.66666667</v>
      </c>
      <c r="L10" s="21" t="n">
        <f aca="false">(K10-2451545)/36525</f>
        <v>-0.0862240474560846</v>
      </c>
      <c r="M10" s="16" t="n">
        <f aca="false">MOD(357.5291 + 35999.0503*L10 - 0.0001559*L10^2 - 0.00000048*L10^3,360)</f>
        <v>133.545277400081</v>
      </c>
      <c r="N10" s="16" t="n">
        <f aca="false">MOD(280.46645 + 36000.76983*L10 + 0.0003032*L10^2,360)</f>
        <v>56.3343659766697</v>
      </c>
      <c r="O10" s="17" t="n">
        <f aca="false"> MOD((1.9146 - 0.004817*L10 - 0.000014*L10^2)*SIN(M10*$C$6) + (0.019993 - 0.000101*L10)*SIN(2*M10*$C$6) + 0.00029*SIN(3*M10*$C$6),360)</f>
        <v>1.36827377370872</v>
      </c>
      <c r="P10" s="16" t="n">
        <f aca="false">MOD(N10+O10,360)</f>
        <v>57.7026397503784</v>
      </c>
      <c r="Q10" s="18" t="n">
        <f aca="false">COS(P10*$C$6)</f>
        <v>0.534313405635922</v>
      </c>
      <c r="R10" s="17" t="n">
        <f aca="false">COS((23.4393-46.815*L10/3600)*$C$6)*SIN(P10*PI()/180)</f>
        <v>0.775528523864985</v>
      </c>
      <c r="S10" s="17" t="n">
        <f aca="false">SIN((23.4393-46.815*L10/3600)*$C$6)*SIN(P10*$C$6)</f>
        <v>0.336250937886485</v>
      </c>
      <c r="T10" s="18" t="n">
        <f aca="false">SQRT(1-S10^2)</f>
        <v>0.941772428334181</v>
      </c>
      <c r="U10" s="16" t="n">
        <f aca="false">ATAN(S10/T10)/$C$6</f>
        <v>19.6486247916474</v>
      </c>
      <c r="V10" s="16" t="n">
        <f aca="false">IF(2*ATAN(R10/(Q10+T10))/$C$6&gt;0, 2*ATAN(R10/(Q10+T10))/$C$6, 2*ATAN(R10/(Q10+T10))/$C$6+360)</f>
        <v>55.434448136783</v>
      </c>
      <c r="W10" s="16" t="n">
        <f aca="false">MOD(280.46061837+360.98564736629*(K10-2451545)+0.000387933*L10^2-L10^3/3871000010 + $E$2,360)</f>
        <v>306.328515628818</v>
      </c>
      <c r="X10" s="19" t="n">
        <f aca="false">IF(W10-V10&gt;0,W10-V10,W10-V10+360)</f>
        <v>250.894067492035</v>
      </c>
      <c r="Y10" s="17" t="n">
        <f aca="false">SIN($D$2*$C$6)*SIN(U10*$C$6) +COS($D$2*$C$6)*COS(U10*$C$6)*COS(X10*$C$6)</f>
        <v>0.0594394219306077</v>
      </c>
      <c r="Z10" s="31" t="n">
        <f aca="false">SIN($C$6*X10)</f>
        <v>-0.944915026363006</v>
      </c>
      <c r="AA10" s="31" t="n">
        <f aca="false">COS($C$6*X10)*SIN($C$6*$D$2) - TAN($C$6*U10)*COS($C$6*$D$2)</f>
        <v>-0.480239639258321</v>
      </c>
      <c r="AB10" s="31" t="n">
        <f aca="false">IF(OR(AND(Z10*AA10&gt;0), AND(Z10&lt;0,AA10&gt;0)), MOD(ATAN2(AA10,Z10)/$C$6+360,360),  ATAN2(AA10,Z10)/$C$6)</f>
        <v>243.058692739086</v>
      </c>
      <c r="AC10" s="21" t="n">
        <f aca="false">(100013989+1670700*COS(3.0984635 + 6283.07585*L10/10)+13956*COS(3.05525 + 12566.1517*L10/10)+3084*COS(5.1985 + 77713.7715*L10/10) +1628*COS(1.1739 + 5753.3849*L10/10)+1576*COS(2.8469 + 7860.4194*L10/10)+925*COS(5.453 + 11506.77*L10/10)+542*COS(4.564 + 3930.21*L10/10)+472*COS(3.661 + 5884.927*L10/10)+346*COS(0.964 + 5507.553*L10/10)+329*COS(5.9 + 5223.694*L10/10)+307*COS(0.299 + 5573.143*L10/10)+243*COS(4.273 + 11790.629*L10/10)+212*COS(5.847 + 1577.344*L10/10)+186*COS(5.022 + 10977.079*L10/10)+175*COS(3.012 + 18849.228*L10/10)+110*COS(5.055 + 5486.778*L10/10)+98*COS(0.89 + 6069.78*L10/10)+86*COS(5.69 + 15720.84*L10/10)+86*COS(1.27 + 161000.69*L10/10)+65*COS(0.27 + 17260.15*L10/10)+63*COS(0.92 + 529.69*L10/10)+57*COS(2.01 + 83996.85*L10/10)+56*COS(5.24 + 71430.7*L10/10)+49*COS(3.25 + 2544.31*L10/10)+47*COS(2.58 + 775.52*L10/10)+45*COS(5.54 + 9437.76*L10/10)+43*COS(6.01 + 6275.96*L10/10)+39*COS(5.36 + 4694*L10/10)+38*COS(2.39 + 8827.39*L10/10)+37*COS(0.83 + 19651.05*L10/10)+37*COS(4.9 + 12139.55*L10/10)+36*COS(1.67 + 12036.46*L10/10)+35*COS(1.84 + 2942.46*L10/10)+33*COS(0.24 + 7084.9*L10/10)+32*COS(0.18 + 5088.63*L10/10)+32*COS(1.78 + 398.15*L10/10)+28*COS(1.21 + 6286.6*L10/10)+28*COS(1.9 + 6279.55*L10/10)+26*COS(4.59 + 10447.39*L10/10) +24.6*COS(3.787 + 8429.241*L10/10)+23.6*COS(0.269 + 796.3*L10/10)+27.8*COS(1.899 + 6279.55*L10/10)+23.9*COS(4.996 + 5856.48*L10/10)+20.3*COS(4.653 + 2146.165*L10/10))/100000000 + (103019*COS(1.10749 + 6283.07585*L10/10) +1721*COS(1.0644 + 12566.1517*L10/10) +702*COS(3.142 + 0*L10/10) +32*COS(1.02 + 18849.23*L10/10) +31*COS(2.84 + 5507.55*L10/10) +25*COS(1.32 + 5223.69*L10/10) +18*COS(1.42 + 1577.34*L10/10) +10*COS(5.91 + 10977.08*L10/10) +9*COS(1.42 + 6275.96*L10/10) +9*COS(0.27 + 5486.78*L10/10))*L10/1000000000  + (4359*COS(5.7846 + 6283.0758*L10/10)*L10^2+124*COS(5.579 + 12566.152*L10/10)*L10^2)/10000000000</f>
        <v>1.01165237794446</v>
      </c>
    </row>
    <row r="11" customFormat="false" ht="15" hidden="false" customHeight="false" outlineLevel="0" collapsed="false">
      <c r="D11" s="1"/>
      <c r="F11" s="20" t="n">
        <v>4.5</v>
      </c>
      <c r="G11" s="23" t="n">
        <f aca="false">ASIN(Y11)/$C$6</f>
        <v>7.80809086011475</v>
      </c>
      <c r="H11" s="23" t="n">
        <f aca="false">G11+1.02/(TAN($C$6*(G11+10.3/(G11+5.11)))*60)</f>
        <v>7.92042621819054</v>
      </c>
      <c r="I11" s="13" t="n">
        <f aca="false">IF(X11&gt;180,AB11-180,AB11+180)</f>
        <v>68.6106089405836</v>
      </c>
      <c r="J11" s="13" t="n">
        <f aca="false">IF(ABS(4*(N11-0.0057183-V11))&lt;20,4*(N11-0.0057183-V11),4*(N11-0.0057183-V11-360))</f>
        <v>3.5759263947923</v>
      </c>
      <c r="K11" s="30" t="n">
        <f aca="false">INT(365.25*IF($B$2&gt;2,$C$2+4716,$C$2-1+4716))+INT(30.6001*IF($B$2&gt;2,$B$2+1,$B$2+12+1))+$A$2+F11/24+2-INT(IF($B$2&gt;2,$C$2,$C$2-1)/100)+INT(INT(IF($B$2&gt;2,$C$2,$C$2-1)/100)/4)-1524.5</f>
        <v>2448395.6875</v>
      </c>
      <c r="L11" s="21" t="n">
        <f aca="false">(K11-2451545)/36525</f>
        <v>-0.0862234770704997</v>
      </c>
      <c r="M11" s="16" t="n">
        <f aca="false">MOD(357.5291 + 35999.0503*L11 - 0.0001559*L11^2 - 0.00000048*L11^3,360)</f>
        <v>133.565810739457</v>
      </c>
      <c r="N11" s="16" t="n">
        <f aca="false">MOD(280.46645 + 36000.76983*L11 + 0.0003032*L11^2,360)</f>
        <v>56.3549002967961</v>
      </c>
      <c r="O11" s="17" t="n">
        <f aca="false"> MOD((1.9146 - 0.004817*L11 - 0.000014*L11^2)*SIN(M11*$C$6) + (0.019993 - 0.000101*L11)*SIN(2*M11*$C$6) + 0.00029*SIN(3*M11*$C$6),360)</f>
        <v>1.36780039084544</v>
      </c>
      <c r="P11" s="16" t="n">
        <f aca="false">MOD(N11+O11,360)</f>
        <v>57.7227006876416</v>
      </c>
      <c r="Q11" s="18" t="n">
        <f aca="false">COS(P11*$C$6)</f>
        <v>0.53401741324778</v>
      </c>
      <c r="R11" s="17" t="n">
        <f aca="false">COS((23.4393-46.815*L11/3600)*$C$6)*SIN(P11*PI()/180)</f>
        <v>0.775700116376627</v>
      </c>
      <c r="S11" s="17" t="n">
        <f aca="false">SIN((23.4393-46.815*L11/3600)*$C$6)*SIN(P11*$C$6)</f>
        <v>0.336325336246673</v>
      </c>
      <c r="T11" s="18" t="n">
        <f aca="false">SQRT(1-S11^2)</f>
        <v>0.941745861789985</v>
      </c>
      <c r="U11" s="16" t="n">
        <f aca="false">ATAN(S11/T11)/$C$6</f>
        <v>19.6531511209765</v>
      </c>
      <c r="V11" s="16" t="n">
        <f aca="false">IF(2*ATAN(R11/(Q11+T11))/$C$6&gt;0, 2*ATAN(R11/(Q11+T11))/$C$6, 2*ATAN(R11/(Q11+T11))/$C$6+360)</f>
        <v>55.4552003980981</v>
      </c>
      <c r="W11" s="16" t="n">
        <f aca="false">MOD(280.46061837+360.98564736629*(K11-2451545)+0.000387933*L11^2-L11^3/3871000010 + $E$2,360)</f>
        <v>313.849050004967</v>
      </c>
      <c r="X11" s="19" t="n">
        <f aca="false">IF(W11-V11&gt;0,W11-V11,W11-V11+360)</f>
        <v>258.393849606868</v>
      </c>
      <c r="Y11" s="17" t="n">
        <f aca="false">SIN($D$2*$C$6)*SIN(U11*$C$6) +COS($D$2*$C$6)*COS(U11*$C$6)*COS(X11*$C$6)</f>
        <v>0.135855476711693</v>
      </c>
      <c r="Z11" s="31" t="n">
        <f aca="false">SIN($C$6*X11)</f>
        <v>-0.979553659324516</v>
      </c>
      <c r="AA11" s="31" t="n">
        <f aca="false">COS($C$6*X11)*SIN($C$6*$D$2) - TAN($C$6*U11)*COS($C$6*$D$2)</f>
        <v>-0.383673665466668</v>
      </c>
      <c r="AB11" s="31" t="n">
        <f aca="false">IF(OR(AND(Z11*AA11&gt;0), AND(Z11&lt;0,AA11&gt;0)), MOD(ATAN2(AA11,Z11)/$C$6+360,360),  ATAN2(AA11,Z11)/$C$6)</f>
        <v>248.610608940584</v>
      </c>
      <c r="AC11" s="21" t="n">
        <f aca="false">(100013989+1670700*COS(3.0984635 + 6283.07585*L11/10)+13956*COS(3.05525 + 12566.1517*L11/10)+3084*COS(5.1985 + 77713.7715*L11/10) +1628*COS(1.1739 + 5753.3849*L11/10)+1576*COS(2.8469 + 7860.4194*L11/10)+925*COS(5.453 + 11506.77*L11/10)+542*COS(4.564 + 3930.21*L11/10)+472*COS(3.661 + 5884.927*L11/10)+346*COS(0.964 + 5507.553*L11/10)+329*COS(5.9 + 5223.694*L11/10)+307*COS(0.299 + 5573.143*L11/10)+243*COS(4.273 + 11790.629*L11/10)+212*COS(5.847 + 1577.344*L11/10)+186*COS(5.022 + 10977.079*L11/10)+175*COS(3.012 + 18849.228*L11/10)+110*COS(5.055 + 5486.778*L11/10)+98*COS(0.89 + 6069.78*L11/10)+86*COS(5.69 + 15720.84*L11/10)+86*COS(1.27 + 161000.69*L11/10)+65*COS(0.27 + 17260.15*L11/10)+63*COS(0.92 + 529.69*L11/10)+57*COS(2.01 + 83996.85*L11/10)+56*COS(5.24 + 71430.7*L11/10)+49*COS(3.25 + 2544.31*L11/10)+47*COS(2.58 + 775.52*L11/10)+45*COS(5.54 + 9437.76*L11/10)+43*COS(6.01 + 6275.96*L11/10)+39*COS(5.36 + 4694*L11/10)+38*COS(2.39 + 8827.39*L11/10)+37*COS(0.83 + 19651.05*L11/10)+37*COS(4.9 + 12139.55*L11/10)+36*COS(1.67 + 12036.46*L11/10)+35*COS(1.84 + 2942.46*L11/10)+33*COS(0.24 + 7084.9*L11/10)+32*COS(0.18 + 5088.63*L11/10)+32*COS(1.78 + 398.15*L11/10)+28*COS(1.21 + 6286.6*L11/10)+28*COS(1.9 + 6279.55*L11/10)+26*COS(4.59 + 10447.39*L11/10) +24.6*COS(3.787 + 8429.241*L11/10)+23.6*COS(0.269 + 796.3*L11/10)+27.8*COS(1.899 + 6279.55*L11/10)+23.9*COS(4.996 + 5856.48*L11/10)+20.3*COS(4.653 + 2146.165*L11/10))/100000000 + (103019*COS(1.10749 + 6283.07585*L11/10) +1721*COS(1.0644 + 12566.1517*L11/10) +702*COS(3.142 + 0*L11/10) +32*COS(1.02 + 18849.23*L11/10) +31*COS(2.84 + 5507.55*L11/10) +25*COS(1.32 + 5223.69*L11/10) +18*COS(1.42 + 1577.34*L11/10) +10*COS(5.91 + 10977.08*L11/10) +9*COS(1.42 + 6275.96*L11/10) +9*COS(0.27 + 5486.78*L11/10))*L11/1000000000  + (4359*COS(5.7846 + 6283.0758*L11/10)*L11^2+124*COS(5.579 + 12566.152*L11/10)*L11^2)/10000000000</f>
        <v>1.01165648618474</v>
      </c>
    </row>
    <row r="12" customFormat="false" ht="15" hidden="false" customHeight="false" outlineLevel="0" collapsed="false">
      <c r="D12" s="1"/>
      <c r="F12" s="20" t="n">
        <v>5</v>
      </c>
      <c r="G12" s="23" t="n">
        <f aca="false">ASIN(Y12)/$C$6</f>
        <v>12.3774412421229</v>
      </c>
      <c r="H12" s="23" t="n">
        <f aca="false">G12+1.02/(TAN($C$6*(G12+10.3/(G12+5.11)))*60)</f>
        <v>12.4512736358916</v>
      </c>
      <c r="I12" s="13" t="n">
        <f aca="false">IF(X12&gt;180,AB12-180,AB12+180)</f>
        <v>74.0816891222615</v>
      </c>
      <c r="J12" s="13" t="n">
        <f aca="false">IF(ABS(4*(N12-0.0057183-V12))&lt;20,4*(N12-0.0057183-V12),4*(N12-0.0057183-V12-360))</f>
        <v>3.57505064316751</v>
      </c>
      <c r="K12" s="30" t="n">
        <f aca="false">INT(365.25*IF($B$2&gt;2,$C$2+4716,$C$2-1+4716))+INT(30.6001*IF($B$2&gt;2,$B$2+1,$B$2+12+1))+$A$2+F12/24+2-INT(IF($B$2&gt;2,$C$2,$C$2-1)/100)+INT(INT(IF($B$2&gt;2,$C$2,$C$2-1)/100)/4)-1524.5</f>
        <v>2448395.70833333</v>
      </c>
      <c r="L12" s="21" t="n">
        <f aca="false">(K12-2451545)/36525</f>
        <v>-0.0862229066849148</v>
      </c>
      <c r="M12" s="16" t="n">
        <f aca="false">MOD(357.5291 + 35999.0503*L12 - 0.0001559*L12^2 - 0.00000048*L12^3,360)</f>
        <v>133.586344078834</v>
      </c>
      <c r="N12" s="16" t="n">
        <f aca="false">MOD(280.46645 + 36000.76983*L12 + 0.0003032*L12^2,360)</f>
        <v>56.375434616923</v>
      </c>
      <c r="O12" s="17" t="n">
        <f aca="false"> MOD((1.9146 - 0.004817*L12 - 0.000014*L12^2)*SIN(M12*$C$6) + (0.019993 - 0.000101*L12)*SIN(2*M12*$C$6) + 0.00029*SIN(3*M12*$C$6),360)</f>
        <v>1.36732683981656</v>
      </c>
      <c r="P12" s="16" t="n">
        <f aca="false">MOD(N12+O12,360)</f>
        <v>57.7427614567396</v>
      </c>
      <c r="Q12" s="18" t="n">
        <f aca="false">COS(P12*$C$6)</f>
        <v>0.533721357876166</v>
      </c>
      <c r="R12" s="17" t="n">
        <f aca="false">COS((23.4393-46.815*L12/3600)*$C$6)*SIN(P12*PI()/180)</f>
        <v>0.77587161235753</v>
      </c>
      <c r="S12" s="17" t="n">
        <f aca="false">SIN((23.4393-46.815*L12/3600)*$C$6)*SIN(P12*$C$6)</f>
        <v>0.336399692753349</v>
      </c>
      <c r="T12" s="18" t="n">
        <f aca="false">SQRT(1-S12^2)</f>
        <v>0.941719303569515</v>
      </c>
      <c r="U12" s="16" t="n">
        <f aca="false">ATAN(S12/T12)/$C$6</f>
        <v>19.6576750315728</v>
      </c>
      <c r="V12" s="16" t="n">
        <f aca="false">IF(2*ATAN(R12/(Q12+T12))/$C$6&gt;0, 2*ATAN(R12/(Q12+T12))/$C$6, 2*ATAN(R12/(Q12+T12))/$C$6+360)</f>
        <v>55.4759536561312</v>
      </c>
      <c r="W12" s="16" t="n">
        <f aca="false">MOD(280.46061837+360.98564736629*(K12-2451545)+0.000387933*L12^2-L12^3/3871000010 + $E$2,360)</f>
        <v>321.369584381115</v>
      </c>
      <c r="X12" s="19" t="n">
        <f aca="false">IF(W12-V12&gt;0,W12-V12,W12-V12+360)</f>
        <v>265.893630724984</v>
      </c>
      <c r="Y12" s="17" t="n">
        <f aca="false">SIN($D$2*$C$6)*SIN(U12*$C$6) +COS($D$2*$C$6)*COS(U12*$C$6)*COS(X12*$C$6)</f>
        <v>0.214350770630734</v>
      </c>
      <c r="Z12" s="31" t="n">
        <f aca="false">SIN($C$6*X12)</f>
        <v>-0.997432828767435</v>
      </c>
      <c r="AA12" s="31" t="n">
        <f aca="false">COS($C$6*X12)*SIN($C$6*$D$2) - TAN($C$6*U12)*COS($C$6*$D$2)</f>
        <v>-0.28447087722952</v>
      </c>
      <c r="AB12" s="31" t="n">
        <f aca="false">IF(OR(AND(Z12*AA12&gt;0), AND(Z12&lt;0,AA12&gt;0)), MOD(ATAN2(AA12,Z12)/$C$6+360,360),  ATAN2(AA12,Z12)/$C$6)</f>
        <v>254.081689122261</v>
      </c>
      <c r="AC12" s="21" t="n">
        <f aca="false">(100013989+1670700*COS(3.0984635 + 6283.07585*L12/10)+13956*COS(3.05525 + 12566.1517*L12/10)+3084*COS(5.1985 + 77713.7715*L12/10) +1628*COS(1.1739 + 5753.3849*L12/10)+1576*COS(2.8469 + 7860.4194*L12/10)+925*COS(5.453 + 11506.77*L12/10)+542*COS(4.564 + 3930.21*L12/10)+472*COS(3.661 + 5884.927*L12/10)+346*COS(0.964 + 5507.553*L12/10)+329*COS(5.9 + 5223.694*L12/10)+307*COS(0.299 + 5573.143*L12/10)+243*COS(4.273 + 11790.629*L12/10)+212*COS(5.847 + 1577.344*L12/10)+186*COS(5.022 + 10977.079*L12/10)+175*COS(3.012 + 18849.228*L12/10)+110*COS(5.055 + 5486.778*L12/10)+98*COS(0.89 + 6069.78*L12/10)+86*COS(5.69 + 15720.84*L12/10)+86*COS(1.27 + 161000.69*L12/10)+65*COS(0.27 + 17260.15*L12/10)+63*COS(0.92 + 529.69*L12/10)+57*COS(2.01 + 83996.85*L12/10)+56*COS(5.24 + 71430.7*L12/10)+49*COS(3.25 + 2544.31*L12/10)+47*COS(2.58 + 775.52*L12/10)+45*COS(5.54 + 9437.76*L12/10)+43*COS(6.01 + 6275.96*L12/10)+39*COS(5.36 + 4694*L12/10)+38*COS(2.39 + 8827.39*L12/10)+37*COS(0.83 + 19651.05*L12/10)+37*COS(4.9 + 12139.55*L12/10)+36*COS(1.67 + 12036.46*L12/10)+35*COS(1.84 + 2942.46*L12/10)+33*COS(0.24 + 7084.9*L12/10)+32*COS(0.18 + 5088.63*L12/10)+32*COS(1.78 + 398.15*L12/10)+28*COS(1.21 + 6286.6*L12/10)+28*COS(1.9 + 6279.55*L12/10)+26*COS(4.59 + 10447.39*L12/10) +24.6*COS(3.787 + 8429.241*L12/10)+23.6*COS(0.269 + 796.3*L12/10)+27.8*COS(1.899 + 6279.55*L12/10)+23.9*COS(4.996 + 5856.48*L12/10)+20.3*COS(4.653 + 2146.165*L12/10))/100000000 + (103019*COS(1.10749 + 6283.07585*L12/10) +1721*COS(1.0644 + 12566.1517*L12/10) +702*COS(3.142 + 0*L12/10) +32*COS(1.02 + 18849.23*L12/10) +31*COS(2.84 + 5507.55*L12/10) +25*COS(1.32 + 5223.69*L12/10) +18*COS(1.42 + 1577.34*L12/10) +10*COS(5.91 + 10977.08*L12/10) +9*COS(1.42 + 6275.96*L12/10) +9*COS(0.27 + 5486.78*L12/10))*L12/1000000000  + (4359*COS(5.7846 + 6283.0758*L12/10)*L12^2+124*COS(5.579 + 12566.152*L12/10)*L12^2)/10000000000</f>
        <v>1.01166059268243</v>
      </c>
    </row>
    <row r="13" customFormat="false" ht="15" hidden="false" customHeight="false" outlineLevel="0" collapsed="false">
      <c r="D13" s="1"/>
      <c r="F13" s="20" t="n">
        <v>5.5</v>
      </c>
      <c r="G13" s="23" t="n">
        <f aca="false">ASIN(Y13)/$C$6</f>
        <v>17.0725992957387</v>
      </c>
      <c r="H13" s="23" t="n">
        <f aca="false">G13+1.02/(TAN($C$6*(G13+10.3/(G13+5.11)))*60)</f>
        <v>17.126395486201</v>
      </c>
      <c r="I13" s="13" t="n">
        <f aca="false">IF(X13&gt;180,AB13-180,AB13+180)</f>
        <v>79.5379896732567</v>
      </c>
      <c r="J13" s="13" t="n">
        <f aca="false">IF(ABS(4*(N13-0.0057183-V13))&lt;20,4*(N13-0.0057183-V13),4*(N13-0.0057183-V13-360))</f>
        <v>3.57417090559127</v>
      </c>
      <c r="K13" s="30" t="n">
        <f aca="false">INT(365.25*IF($B$2&gt;2,$C$2+4716,$C$2-1+4716))+INT(30.6001*IF($B$2&gt;2,$B$2+1,$B$2+12+1))+$A$2+F13/24+2-INT(IF($B$2&gt;2,$C$2,$C$2-1)/100)+INT(INT(IF($B$2&gt;2,$C$2,$C$2-1)/100)/4)-1524.5</f>
        <v>2448395.72916667</v>
      </c>
      <c r="L13" s="21" t="n">
        <f aca="false">(K13-2451545)/36525</f>
        <v>-0.0862223362993426</v>
      </c>
      <c r="M13" s="16" t="n">
        <f aca="false">MOD(357.5291 + 35999.0503*L13 - 0.0001559*L13^2 - 0.00000048*L13^3,360)</f>
        <v>133.606877417752</v>
      </c>
      <c r="N13" s="16" t="n">
        <f aca="false">MOD(280.46645 + 36000.76983*L13 + 0.0003032*L13^2,360)</f>
        <v>56.3959689365902</v>
      </c>
      <c r="O13" s="17" t="n">
        <f aca="false"> MOD((1.9146 - 0.004817*L13 - 0.000014*L13^2)*SIN(M13*$C$6) + (0.019993 - 0.000101*L13)*SIN(2*M13*$C$6) + 0.00029*SIN(3*M13*$C$6),360)</f>
        <v>1.36685312069351</v>
      </c>
      <c r="P13" s="16" t="n">
        <f aca="false">MOD(N13+O13,360)</f>
        <v>57.7628220572837</v>
      </c>
      <c r="Q13" s="18" t="n">
        <f aca="false">COS(P13*$C$6)</f>
        <v>0.533425239564758</v>
      </c>
      <c r="R13" s="17" t="n">
        <f aca="false">COS((23.4393-46.815*L13/3600)*$C$6)*SIN(P13*PI()/180)</f>
        <v>0.776043011785743</v>
      </c>
      <c r="S13" s="17" t="n">
        <f aca="false">SIN((23.4393-46.815*L13/3600)*$C$6)*SIN(P13*$C$6)</f>
        <v>0.336474007396996</v>
      </c>
      <c r="T13" s="18" t="n">
        <f aca="false">SQRT(1-S13^2)</f>
        <v>0.941692753686788</v>
      </c>
      <c r="U13" s="16" t="n">
        <f aca="false">ATAN(S13/T13)/$C$6</f>
        <v>19.6621965226807</v>
      </c>
      <c r="V13" s="16" t="n">
        <f aca="false">IF(2*ATAN(R13/(Q13+T13))/$C$6&gt;0, 2*ATAN(R13/(Q13+T13))/$C$6, 2*ATAN(R13/(Q13+T13))/$C$6+360)</f>
        <v>55.4967079101924</v>
      </c>
      <c r="W13" s="16" t="n">
        <f aca="false">MOD(280.46061837+360.98564736629*(K13-2451545)+0.000387933*L13^2-L13^3/3871000010 + $E$2,360)</f>
        <v>328.890118589159</v>
      </c>
      <c r="X13" s="19" t="n">
        <f aca="false">IF(W13-V13&gt;0,W13-V13,W13-V13+360)</f>
        <v>273.393410678967</v>
      </c>
      <c r="Y13" s="17" t="n">
        <f aca="false">SIN($D$2*$C$6)*SIN(U13*$C$6) +COS($D$2*$C$6)*COS(U13*$C$6)*COS(X13*$C$6)</f>
        <v>0.293583200335909</v>
      </c>
      <c r="Z13" s="31" t="n">
        <f aca="false">SIN($C$6*X13)</f>
        <v>-0.998246641872377</v>
      </c>
      <c r="AA13" s="31" t="n">
        <f aca="false">COS($C$6*X13)*SIN($C$6*$D$2) - TAN($C$6*U13)*COS($C$6*$D$2)</f>
        <v>-0.184329544877035</v>
      </c>
      <c r="AB13" s="31" t="n">
        <f aca="false">IF(OR(AND(Z13*AA13&gt;0), AND(Z13&lt;0,AA13&gt;0)), MOD(ATAN2(AA13,Z13)/$C$6+360,360),  ATAN2(AA13,Z13)/$C$6)</f>
        <v>259.537989673257</v>
      </c>
      <c r="AC13" s="21" t="n">
        <f aca="false">(100013989+1670700*COS(3.0984635 + 6283.07585*L13/10)+13956*COS(3.05525 + 12566.1517*L13/10)+3084*COS(5.1985 + 77713.7715*L13/10) +1628*COS(1.1739 + 5753.3849*L13/10)+1576*COS(2.8469 + 7860.4194*L13/10)+925*COS(5.453 + 11506.77*L13/10)+542*COS(4.564 + 3930.21*L13/10)+472*COS(3.661 + 5884.927*L13/10)+346*COS(0.964 + 5507.553*L13/10)+329*COS(5.9 + 5223.694*L13/10)+307*COS(0.299 + 5573.143*L13/10)+243*COS(4.273 + 11790.629*L13/10)+212*COS(5.847 + 1577.344*L13/10)+186*COS(5.022 + 10977.079*L13/10)+175*COS(3.012 + 18849.228*L13/10)+110*COS(5.055 + 5486.778*L13/10)+98*COS(0.89 + 6069.78*L13/10)+86*COS(5.69 + 15720.84*L13/10)+86*COS(1.27 + 161000.69*L13/10)+65*COS(0.27 + 17260.15*L13/10)+63*COS(0.92 + 529.69*L13/10)+57*COS(2.01 + 83996.85*L13/10)+56*COS(5.24 + 71430.7*L13/10)+49*COS(3.25 + 2544.31*L13/10)+47*COS(2.58 + 775.52*L13/10)+45*COS(5.54 + 9437.76*L13/10)+43*COS(6.01 + 6275.96*L13/10)+39*COS(5.36 + 4694*L13/10)+38*COS(2.39 + 8827.39*L13/10)+37*COS(0.83 + 19651.05*L13/10)+37*COS(4.9 + 12139.55*L13/10)+36*COS(1.67 + 12036.46*L13/10)+35*COS(1.84 + 2942.46*L13/10)+33*COS(0.24 + 7084.9*L13/10)+32*COS(0.18 + 5088.63*L13/10)+32*COS(1.78 + 398.15*L13/10)+28*COS(1.21 + 6286.6*L13/10)+28*COS(1.9 + 6279.55*L13/10)+26*COS(4.59 + 10447.39*L13/10) +24.6*COS(3.787 + 8429.241*L13/10)+23.6*COS(0.269 + 796.3*L13/10)+27.8*COS(1.899 + 6279.55*L13/10)+23.9*COS(4.996 + 5856.48*L13/10)+20.3*COS(4.653 + 2146.165*L13/10))/100000000 + (103019*COS(1.10749 + 6283.07585*L13/10) +1721*COS(1.0644 + 12566.1517*L13/10) +702*COS(3.142 + 0*L13/10) +32*COS(1.02 + 18849.23*L13/10) +31*COS(2.84 + 5507.55*L13/10) +25*COS(1.32 + 5223.69*L13/10) +18*COS(1.42 + 1577.34*L13/10) +10*COS(5.91 + 10977.08*L13/10) +9*COS(1.42 + 6275.96*L13/10) +9*COS(0.27 + 5486.78*L13/10))*L13/1000000000  + (4359*COS(5.7846 + 6283.0758*L13/10)*L13^2+124*COS(5.579 + 12566.152*L13/10)*L13^2)/10000000000</f>
        <v>1.01166469744002</v>
      </c>
    </row>
    <row r="14" customFormat="false" ht="15" hidden="false" customHeight="false" outlineLevel="0" collapsed="false">
      <c r="D14" s="1"/>
      <c r="F14" s="20" t="n">
        <v>6</v>
      </c>
      <c r="G14" s="23" t="n">
        <f aca="false">ASIN(Y14)/$C$6</f>
        <v>21.8512458214922</v>
      </c>
      <c r="H14" s="23" t="n">
        <f aca="false">G14+1.02/(TAN($C$6*(G14+10.3/(G14+5.11)))*60)</f>
        <v>21.8928339912936</v>
      </c>
      <c r="I14" s="13" t="n">
        <f aca="false">IF(X14&gt;180,AB14-180,AB14+180)</f>
        <v>85.0549109859364</v>
      </c>
      <c r="J14" s="13" t="n">
        <f aca="false">IF(ABS(4*(N14-0.0057183-V14))&lt;20,4*(N14-0.0057183-V14),4*(N14-0.0057183-V14-360))</f>
        <v>3.57328718292604</v>
      </c>
      <c r="K14" s="30" t="n">
        <f aca="false">INT(365.25*IF($B$2&gt;2,$C$2+4716,$C$2-1+4716))+INT(30.6001*IF($B$2&gt;2,$B$2+1,$B$2+12+1))+$A$2+F14/24+2-INT(IF($B$2&gt;2,$C$2,$C$2-1)/100)+INT(INT(IF($B$2&gt;2,$C$2,$C$2-1)/100)/4)-1524.5</f>
        <v>2448395.75</v>
      </c>
      <c r="L14" s="21" t="n">
        <f aca="false">(K14-2451545)/36525</f>
        <v>-0.0862217659137577</v>
      </c>
      <c r="M14" s="16" t="n">
        <f aca="false">MOD(357.5291 + 35999.0503*L14 - 0.0001559*L14^2 - 0.00000048*L14^3,360)</f>
        <v>133.627410757128</v>
      </c>
      <c r="N14" s="16" t="n">
        <f aca="false">MOD(280.46645 + 36000.76983*L14 + 0.0003032*L14^2,360)</f>
        <v>56.4165032567166</v>
      </c>
      <c r="O14" s="17" t="n">
        <f aca="false"> MOD((1.9146 - 0.004817*L14 - 0.000014*L14^2)*SIN(M14*$C$6) + (0.019993 - 0.000101*L14)*SIN(2*M14*$C$6) + 0.00029*SIN(3*M14*$C$6),360)</f>
        <v>1.36637923351599</v>
      </c>
      <c r="P14" s="16" t="n">
        <f aca="false">MOD(N14+O14,360)</f>
        <v>57.7828824902326</v>
      </c>
      <c r="Q14" s="18" t="n">
        <f aca="false">COS(P14*$C$6)</f>
        <v>0.533129058337349</v>
      </c>
      <c r="R14" s="17" t="n">
        <f aca="false">COS((23.4393-46.815*L14/3600)*$C$6)*SIN(P14*PI()/180)</f>
        <v>0.776214314650835</v>
      </c>
      <c r="S14" s="17" t="n">
        <f aca="false">SIN((23.4393-46.815*L14/3600)*$C$6)*SIN(P14*$C$6)</f>
        <v>0.33654828017309</v>
      </c>
      <c r="T14" s="18" t="n">
        <f aca="false">SQRT(1-S14^2)</f>
        <v>0.941666212154039</v>
      </c>
      <c r="U14" s="16" t="n">
        <f aca="false">ATAN(S14/T14)/$C$6</f>
        <v>19.6667155938487</v>
      </c>
      <c r="V14" s="16" t="n">
        <f aca="false">IF(2*ATAN(R14/(Q14+T14))/$C$6&gt;0, 2*ATAN(R14/(Q14+T14))/$C$6, 2*ATAN(R14/(Q14+T14))/$C$6+360)</f>
        <v>55.5174631609851</v>
      </c>
      <c r="W14" s="16" t="n">
        <f aca="false">MOD(280.46061837+360.98564736629*(K14-2451545)+0.000387933*L14^2-L14^3/3871000010 + $E$2,360)</f>
        <v>336.410652965307</v>
      </c>
      <c r="X14" s="19" t="n">
        <f aca="false">IF(W14-V14&gt;0,W14-V14,W14-V14+360)</f>
        <v>280.893189804322</v>
      </c>
      <c r="Y14" s="17" t="n">
        <f aca="false">SIN($D$2*$C$6)*SIN(U14*$C$6) +COS($D$2*$C$6)*COS(U14*$C$6)*COS(X14*$C$6)</f>
        <v>0.372198132340658</v>
      </c>
      <c r="Z14" s="31" t="n">
        <f aca="false">SIN($C$6*X14)</f>
        <v>-0.981981181708075</v>
      </c>
      <c r="AA14" s="31" t="n">
        <f aca="false">COS($C$6*X14)*SIN($C$6*$D$2) - TAN($C$6*U14)*COS($C$6*$D$2)</f>
        <v>-0.0849639882451767</v>
      </c>
      <c r="AB14" s="31" t="n">
        <f aca="false">IF(OR(AND(Z14*AA14&gt;0), AND(Z14&lt;0,AA14&gt;0)), MOD(ATAN2(AA14,Z14)/$C$6+360,360),  ATAN2(AA14,Z14)/$C$6)</f>
        <v>265.054910985936</v>
      </c>
      <c r="AC14" s="21" t="n">
        <f aca="false">(100013989+1670700*COS(3.0984635 + 6283.07585*L14/10)+13956*COS(3.05525 + 12566.1517*L14/10)+3084*COS(5.1985 + 77713.7715*L14/10) +1628*COS(1.1739 + 5753.3849*L14/10)+1576*COS(2.8469 + 7860.4194*L14/10)+925*COS(5.453 + 11506.77*L14/10)+542*COS(4.564 + 3930.21*L14/10)+472*COS(3.661 + 5884.927*L14/10)+346*COS(0.964 + 5507.553*L14/10)+329*COS(5.9 + 5223.694*L14/10)+307*COS(0.299 + 5573.143*L14/10)+243*COS(4.273 + 11790.629*L14/10)+212*COS(5.847 + 1577.344*L14/10)+186*COS(5.022 + 10977.079*L14/10)+175*COS(3.012 + 18849.228*L14/10)+110*COS(5.055 + 5486.778*L14/10)+98*COS(0.89 + 6069.78*L14/10)+86*COS(5.69 + 15720.84*L14/10)+86*COS(1.27 + 161000.69*L14/10)+65*COS(0.27 + 17260.15*L14/10)+63*COS(0.92 + 529.69*L14/10)+57*COS(2.01 + 83996.85*L14/10)+56*COS(5.24 + 71430.7*L14/10)+49*COS(3.25 + 2544.31*L14/10)+47*COS(2.58 + 775.52*L14/10)+45*COS(5.54 + 9437.76*L14/10)+43*COS(6.01 + 6275.96*L14/10)+39*COS(5.36 + 4694*L14/10)+38*COS(2.39 + 8827.39*L14/10)+37*COS(0.83 + 19651.05*L14/10)+37*COS(4.9 + 12139.55*L14/10)+36*COS(1.67 + 12036.46*L14/10)+35*COS(1.84 + 2942.46*L14/10)+33*COS(0.24 + 7084.9*L14/10)+32*COS(0.18 + 5088.63*L14/10)+32*COS(1.78 + 398.15*L14/10)+28*COS(1.21 + 6286.6*L14/10)+28*COS(1.9 + 6279.55*L14/10)+26*COS(4.59 + 10447.39*L14/10) +24.6*COS(3.787 + 8429.241*L14/10)+23.6*COS(0.269 + 796.3*L14/10)+27.8*COS(1.899 + 6279.55*L14/10)+23.9*COS(4.996 + 5856.48*L14/10)+20.3*COS(4.653 + 2146.165*L14/10))/100000000 + (103019*COS(1.10749 + 6283.07585*L14/10) +1721*COS(1.0644 + 12566.1517*L14/10) +702*COS(3.142 + 0*L14/10) +32*COS(1.02 + 18849.23*L14/10) +31*COS(2.84 + 5507.55*L14/10) +25*COS(1.32 + 5223.69*L14/10) +18*COS(1.42 + 1577.34*L14/10) +10*COS(5.91 + 10977.08*L14/10) +9*COS(1.42 + 6275.96*L14/10) +9*COS(0.27 + 5486.78*L14/10))*L14/1000000000  + (4359*COS(5.7846 + 6283.0758*L14/10)*L14^2+124*COS(5.579 + 12566.152*L14/10)*L14^2)/10000000000</f>
        <v>1.01166880046028</v>
      </c>
    </row>
    <row r="15" customFormat="false" ht="15" hidden="false" customHeight="false" outlineLevel="0" collapsed="false">
      <c r="D15" s="1"/>
      <c r="F15" s="20" t="n">
        <v>6.5</v>
      </c>
      <c r="G15" s="23" t="n">
        <f aca="false">ASIN(Y15)/$C$6</f>
        <v>26.6700256666096</v>
      </c>
      <c r="H15" s="23" t="n">
        <f aca="false">G15+1.02/(TAN($C$6*(G15+10.3/(G15+5.11)))*60)</f>
        <v>26.7033984991735</v>
      </c>
      <c r="I15" s="13" t="n">
        <f aca="false">IF(X15&gt;180,AB15-180,AB15+180)</f>
        <v>90.7199818041864</v>
      </c>
      <c r="J15" s="13" t="n">
        <f aca="false">IF(ABS(4*(N15-0.0057183-V15))&lt;20,4*(N15-0.0057183-V15),4*(N15-0.0057183-V15-360))</f>
        <v>3.5723994760954</v>
      </c>
      <c r="K15" s="30" t="n">
        <f aca="false">INT(365.25*IF($B$2&gt;2,$C$2+4716,$C$2-1+4716))+INT(30.6001*IF($B$2&gt;2,$B$2+1,$B$2+12+1))+$A$2+F15/24+2-INT(IF($B$2&gt;2,$C$2,$C$2-1)/100)+INT(INT(IF($B$2&gt;2,$C$2,$C$2-1)/100)/4)-1524.5</f>
        <v>2448395.77083333</v>
      </c>
      <c r="L15" s="21" t="n">
        <f aca="false">(K15-2451545)/36525</f>
        <v>-0.0862211955281728</v>
      </c>
      <c r="M15" s="16" t="n">
        <f aca="false">MOD(357.5291 + 35999.0503*L15 - 0.0001559*L15^2 - 0.00000048*L15^3,360)</f>
        <v>133.647944096505</v>
      </c>
      <c r="N15" s="16" t="n">
        <f aca="false">MOD(280.46645 + 36000.76983*L15 + 0.0003032*L15^2,360)</f>
        <v>56.4370375768435</v>
      </c>
      <c r="O15" s="17" t="n">
        <f aca="false"> MOD((1.9146 - 0.004817*L15 - 0.000014*L15^2)*SIN(M15*$C$6) + (0.019993 - 0.000101*L15)*SIN(2*M15*$C$6) + 0.00029*SIN(3*M15*$C$6),360)</f>
        <v>1.36590517835549</v>
      </c>
      <c r="P15" s="16" t="n">
        <f aca="false">MOD(N15+O15,360)</f>
        <v>57.802942755199</v>
      </c>
      <c r="Q15" s="18" t="n">
        <f aca="false">COS(P15*$C$6)</f>
        <v>0.532832814237605</v>
      </c>
      <c r="R15" s="17" t="n">
        <f aca="false">COS((23.4393-46.815*L15/3600)*$C$6)*SIN(P15*PI()/180)</f>
        <v>0.776385520930889</v>
      </c>
      <c r="S15" s="17" t="n">
        <f aca="false">SIN((23.4393-46.815*L15/3600)*$C$6)*SIN(P15*$C$6)</f>
        <v>0.33662251107213</v>
      </c>
      <c r="T15" s="18" t="n">
        <f aca="false">SQRT(1-S15^2)</f>
        <v>0.941639678985276</v>
      </c>
      <c r="U15" s="16" t="n">
        <f aca="false">ATAN(S15/T15)/$C$6</f>
        <v>19.6712322443219</v>
      </c>
      <c r="V15" s="16" t="n">
        <f aca="false">IF(2*ATAN(R15/(Q15+T15))/$C$6&gt;0, 2*ATAN(R15/(Q15+T15))/$C$6, 2*ATAN(R15/(Q15+T15))/$C$6+360)</f>
        <v>55.5382194078197</v>
      </c>
      <c r="W15" s="16" t="n">
        <f aca="false">MOD(280.46061837+360.98564736629*(K15-2451545)+0.000387933*L15^2-L15^3/3871000010 + $E$2,360)</f>
        <v>343.931187341223</v>
      </c>
      <c r="X15" s="19" t="n">
        <f aca="false">IF(W15-V15&gt;0,W15-V15,W15-V15+360)</f>
        <v>288.392967933403</v>
      </c>
      <c r="Y15" s="17" t="n">
        <f aca="false">SIN($D$2*$C$6)*SIN(U15*$C$6) +COS($D$2*$C$6)*COS(U15*$C$6)*COS(X15*$C$6)</f>
        <v>0.448851569186565</v>
      </c>
      <c r="Z15" s="31" t="n">
        <f aca="false">SIN($C$6*X15)</f>
        <v>-0.948914744961186</v>
      </c>
      <c r="AA15" s="31" t="n">
        <f aca="false">COS($C$6*X15)*SIN($C$6*$D$2) - TAN($C$6*U15)*COS($C$6*$D$2)</f>
        <v>0.0119247406813212</v>
      </c>
      <c r="AB15" s="31" t="n">
        <f aca="false">IF(OR(AND(Z15*AA15&gt;0), AND(Z15&lt;0,AA15&gt;0)), MOD(ATAN2(AA15,Z15)/$C$6+360,360),  ATAN2(AA15,Z15)/$C$6)</f>
        <v>270.719981804186</v>
      </c>
      <c r="AC15" s="21" t="n">
        <f aca="false">(100013989+1670700*COS(3.0984635 + 6283.07585*L15/10)+13956*COS(3.05525 + 12566.1517*L15/10)+3084*COS(5.1985 + 77713.7715*L15/10) +1628*COS(1.1739 + 5753.3849*L15/10)+1576*COS(2.8469 + 7860.4194*L15/10)+925*COS(5.453 + 11506.77*L15/10)+542*COS(4.564 + 3930.21*L15/10)+472*COS(3.661 + 5884.927*L15/10)+346*COS(0.964 + 5507.553*L15/10)+329*COS(5.9 + 5223.694*L15/10)+307*COS(0.299 + 5573.143*L15/10)+243*COS(4.273 + 11790.629*L15/10)+212*COS(5.847 + 1577.344*L15/10)+186*COS(5.022 + 10977.079*L15/10)+175*COS(3.012 + 18849.228*L15/10)+110*COS(5.055 + 5486.778*L15/10)+98*COS(0.89 + 6069.78*L15/10)+86*COS(5.69 + 15720.84*L15/10)+86*COS(1.27 + 161000.69*L15/10)+65*COS(0.27 + 17260.15*L15/10)+63*COS(0.92 + 529.69*L15/10)+57*COS(2.01 + 83996.85*L15/10)+56*COS(5.24 + 71430.7*L15/10)+49*COS(3.25 + 2544.31*L15/10)+47*COS(2.58 + 775.52*L15/10)+45*COS(5.54 + 9437.76*L15/10)+43*COS(6.01 + 6275.96*L15/10)+39*COS(5.36 + 4694*L15/10)+38*COS(2.39 + 8827.39*L15/10)+37*COS(0.83 + 19651.05*L15/10)+37*COS(4.9 + 12139.55*L15/10)+36*COS(1.67 + 12036.46*L15/10)+35*COS(1.84 + 2942.46*L15/10)+33*COS(0.24 + 7084.9*L15/10)+32*COS(0.18 + 5088.63*L15/10)+32*COS(1.78 + 398.15*L15/10)+28*COS(1.21 + 6286.6*L15/10)+28*COS(1.9 + 6279.55*L15/10)+26*COS(4.59 + 10447.39*L15/10) +24.6*COS(3.787 + 8429.241*L15/10)+23.6*COS(0.269 + 796.3*L15/10)+27.8*COS(1.899 + 6279.55*L15/10)+23.9*COS(4.996 + 5856.48*L15/10)+20.3*COS(4.653 + 2146.165*L15/10))/100000000 + (103019*COS(1.10749 + 6283.07585*L15/10) +1721*COS(1.0644 + 12566.1517*L15/10) +702*COS(3.142 + 0*L15/10) +32*COS(1.02 + 18849.23*L15/10) +31*COS(2.84 + 5507.55*L15/10) +25*COS(1.32 + 5223.69*L15/10) +18*COS(1.42 + 1577.34*L15/10) +10*COS(5.91 + 10977.08*L15/10) +9*COS(1.42 + 6275.96*L15/10) +9*COS(0.27 + 5486.78*L15/10))*L15/1000000000  + (4359*COS(5.7846 + 6283.0758*L15/10)*L15^2+124*COS(5.579 + 12566.152*L15/10)*L15^2)/10000000000</f>
        <v>1.01167290174572</v>
      </c>
    </row>
    <row r="16" customFormat="false" ht="15" hidden="false" customHeight="false" outlineLevel="0" collapsed="false">
      <c r="D16" s="1"/>
      <c r="F16" s="20" t="n">
        <v>7</v>
      </c>
      <c r="G16" s="23" t="n">
        <f aca="false">ASIN(Y16)/$C$6</f>
        <v>31.4821662347311</v>
      </c>
      <c r="H16" s="23" t="n">
        <f aca="false">G16+1.02/(TAN($C$6*(G16+10.3/(G16+5.11)))*60)</f>
        <v>31.509623310892</v>
      </c>
      <c r="I16" s="13" t="n">
        <f aca="false">IF(X16&gt;180,AB16-180,AB16+180)</f>
        <v>96.6370262213653</v>
      </c>
      <c r="J16" s="13" t="n">
        <f aca="false">IF(ABS(4*(N16-0.0057183-V16))&lt;20,4*(N16-0.0057183-V16),4*(N16-0.0057183-V16-360))</f>
        <v>3.5715077860265</v>
      </c>
      <c r="K16" s="30" t="n">
        <f aca="false">INT(365.25*IF($B$2&gt;2,$C$2+4716,$C$2-1+4716))+INT(30.6001*IF($B$2&gt;2,$B$2+1,$B$2+12+1))+$A$2+F16/24+2-INT(IF($B$2&gt;2,$C$2,$C$2-1)/100)+INT(INT(IF($B$2&gt;2,$C$2,$C$2-1)/100)/4)-1524.5</f>
        <v>2448395.79166667</v>
      </c>
      <c r="L16" s="21" t="n">
        <f aca="false">(K16-2451545)/36525</f>
        <v>-0.0862206251426007</v>
      </c>
      <c r="M16" s="16" t="n">
        <f aca="false">MOD(357.5291 + 35999.0503*L16 - 0.0001559*L16^2 - 0.00000048*L16^3,360)</f>
        <v>133.668477435423</v>
      </c>
      <c r="N16" s="16" t="n">
        <f aca="false">MOD(280.46645 + 36000.76983*L16 + 0.0003032*L16^2,360)</f>
        <v>56.4575718965107</v>
      </c>
      <c r="O16" s="17" t="n">
        <f aca="false"> MOD((1.9146 - 0.004817*L16 - 0.000014*L16^2)*SIN(M16*$C$6) + (0.019993 - 0.000101*L16)*SIN(2*M16*$C$6) + 0.00029*SIN(3*M16*$C$6),360)</f>
        <v>1.3654309552835</v>
      </c>
      <c r="P16" s="16" t="n">
        <f aca="false">MOD(N16+O16,360)</f>
        <v>57.8230028517942</v>
      </c>
      <c r="Q16" s="18" t="n">
        <f aca="false">COS(P16*$C$6)</f>
        <v>0.532536507309224</v>
      </c>
      <c r="R16" s="17" t="n">
        <f aca="false">COS((23.4393-46.815*L16/3600)*$C$6)*SIN(P16*PI()/180)</f>
        <v>0.776556630603992</v>
      </c>
      <c r="S16" s="17" t="n">
        <f aca="false">SIN((23.4393-46.815*L16/3600)*$C$6)*SIN(P16*$C$6)</f>
        <v>0.336696700084614</v>
      </c>
      <c r="T16" s="18" t="n">
        <f aca="false">SQRT(1-S16^2)</f>
        <v>0.941613154194509</v>
      </c>
      <c r="U16" s="16" t="n">
        <f aca="false">ATAN(S16/T16)/$C$6</f>
        <v>19.6757464733458</v>
      </c>
      <c r="V16" s="16" t="n">
        <f aca="false">IF(2*ATAN(R16/(Q16+T16))/$C$6&gt;0, 2*ATAN(R16/(Q16+T16))/$C$6, 2*ATAN(R16/(Q16+T16))/$C$6+360)</f>
        <v>55.5589766500041</v>
      </c>
      <c r="W16" s="16" t="n">
        <f aca="false">MOD(280.46061837+360.98564736629*(K16-2451545)+0.000387933*L16^2-L16^3/3871000010 + $E$2,360)</f>
        <v>351.451721549267</v>
      </c>
      <c r="X16" s="19" t="n">
        <f aca="false">IF(W16-V16&gt;0,W16-V16,W16-V16+360)</f>
        <v>295.892744899263</v>
      </c>
      <c r="Y16" s="17" t="n">
        <f aca="false">SIN($D$2*$C$6)*SIN(U16*$C$6) +COS($D$2*$C$6)*COS(U16*$C$6)*COS(X16*$C$6)</f>
        <v>0.522233148404268</v>
      </c>
      <c r="Z16" s="31" t="n">
        <f aca="false">SIN($C$6*X16)</f>
        <v>-0.899613081942457</v>
      </c>
      <c r="AA16" s="31" t="n">
        <f aca="false">COS($C$6*X16)*SIN($C$6*$D$2) - TAN($C$6*U16)*COS($C$6*$D$2)</f>
        <v>0.104677968438091</v>
      </c>
      <c r="AB16" s="31" t="n">
        <f aca="false">IF(OR(AND(Z16*AA16&gt;0), AND(Z16&lt;0,AA16&gt;0)), MOD(ATAN2(AA16,Z16)/$C$6+360,360),  ATAN2(AA16,Z16)/$C$6)</f>
        <v>276.637026221365</v>
      </c>
      <c r="AC16" s="21" t="n">
        <f aca="false">(100013989+1670700*COS(3.0984635 + 6283.07585*L16/10)+13956*COS(3.05525 + 12566.1517*L16/10)+3084*COS(5.1985 + 77713.7715*L16/10) +1628*COS(1.1739 + 5753.3849*L16/10)+1576*COS(2.8469 + 7860.4194*L16/10)+925*COS(5.453 + 11506.77*L16/10)+542*COS(4.564 + 3930.21*L16/10)+472*COS(3.661 + 5884.927*L16/10)+346*COS(0.964 + 5507.553*L16/10)+329*COS(5.9 + 5223.694*L16/10)+307*COS(0.299 + 5573.143*L16/10)+243*COS(4.273 + 11790.629*L16/10)+212*COS(5.847 + 1577.344*L16/10)+186*COS(5.022 + 10977.079*L16/10)+175*COS(3.012 + 18849.228*L16/10)+110*COS(5.055 + 5486.778*L16/10)+98*COS(0.89 + 6069.78*L16/10)+86*COS(5.69 + 15720.84*L16/10)+86*COS(1.27 + 161000.69*L16/10)+65*COS(0.27 + 17260.15*L16/10)+63*COS(0.92 + 529.69*L16/10)+57*COS(2.01 + 83996.85*L16/10)+56*COS(5.24 + 71430.7*L16/10)+49*COS(3.25 + 2544.31*L16/10)+47*COS(2.58 + 775.52*L16/10)+45*COS(5.54 + 9437.76*L16/10)+43*COS(6.01 + 6275.96*L16/10)+39*COS(5.36 + 4694*L16/10)+38*COS(2.39 + 8827.39*L16/10)+37*COS(0.83 + 19651.05*L16/10)+37*COS(4.9 + 12139.55*L16/10)+36*COS(1.67 + 12036.46*L16/10)+35*COS(1.84 + 2942.46*L16/10)+33*COS(0.24 + 7084.9*L16/10)+32*COS(0.18 + 5088.63*L16/10)+32*COS(1.78 + 398.15*L16/10)+28*COS(1.21 + 6286.6*L16/10)+28*COS(1.9 + 6279.55*L16/10)+26*COS(4.59 + 10447.39*L16/10) +24.6*COS(3.787 + 8429.241*L16/10)+23.6*COS(0.269 + 796.3*L16/10)+27.8*COS(1.899 + 6279.55*L16/10)+23.9*COS(4.996 + 5856.48*L16/10)+20.3*COS(4.653 + 2146.165*L16/10))/100000000 + (103019*COS(1.10749 + 6283.07585*L16/10) +1721*COS(1.0644 + 12566.1517*L16/10) +702*COS(3.142 + 0*L16/10) +32*COS(1.02 + 18849.23*L16/10) +31*COS(2.84 + 5507.55*L16/10) +25*COS(1.32 + 5223.69*L16/10) +18*COS(1.42 + 1577.34*L16/10) +10*COS(5.91 + 10977.08*L16/10) +9*COS(1.42 + 6275.96*L16/10) +9*COS(0.27 + 5486.78*L16/10))*L16/1000000000  + (4359*COS(5.7846 + 6283.0758*L16/10)*L16^2+124*COS(5.579 + 12566.152*L16/10)*L16^2)/10000000000</f>
        <v>1.01167700129885</v>
      </c>
    </row>
    <row r="17" customFormat="false" ht="15" hidden="false" customHeight="false" outlineLevel="0" collapsed="false">
      <c r="D17" s="1"/>
      <c r="F17" s="20" t="n">
        <v>7.5</v>
      </c>
      <c r="G17" s="23" t="n">
        <f aca="false">ASIN(Y17)/$C$6</f>
        <v>36.2342941049604</v>
      </c>
      <c r="H17" s="23" t="n">
        <f aca="false">G17+1.02/(TAN($C$6*(G17+10.3/(G17+5.11)))*60)</f>
        <v>36.2572821943787</v>
      </c>
      <c r="I17" s="13" t="n">
        <f aca="false">IF(X17&gt;180,AB17-180,AB17+180)</f>
        <v>102.931661906781</v>
      </c>
      <c r="J17" s="13" t="n">
        <f aca="false">IF(ABS(4*(N17-0.0057183-V17))&lt;20,4*(N17-0.0057183-V17),4*(N17-0.0057183-V17-360))</f>
        <v>3.57061211358874</v>
      </c>
      <c r="K17" s="30" t="n">
        <f aca="false">INT(365.25*IF($B$2&gt;2,$C$2+4716,$C$2-1+4716))+INT(30.6001*IF($B$2&gt;2,$B$2+1,$B$2+12+1))+$A$2+F17/24+2-INT(IF($B$2&gt;2,$C$2,$C$2-1)/100)+INT(INT(IF($B$2&gt;2,$C$2,$C$2-1)/100)/4)-1524.5</f>
        <v>2448395.8125</v>
      </c>
      <c r="L17" s="21" t="n">
        <f aca="false">(K17-2451545)/36525</f>
        <v>-0.0862200547570157</v>
      </c>
      <c r="M17" s="16" t="n">
        <f aca="false">MOD(357.5291 + 35999.0503*L17 - 0.0001559*L17^2 - 0.00000048*L17^3,360)</f>
        <v>133.689010774799</v>
      </c>
      <c r="N17" s="16" t="n">
        <f aca="false">MOD(280.46645 + 36000.76983*L17 + 0.0003032*L17^2,360)</f>
        <v>56.4781062166376</v>
      </c>
      <c r="O17" s="17" t="n">
        <f aca="false"> MOD((1.9146 - 0.004817*L17 - 0.000014*L17^2)*SIN(M17*$C$6) + (0.019993 - 0.000101*L17)*SIN(2*M17*$C$6) + 0.00029*SIN(3*M17*$C$6),360)</f>
        <v>1.36495656433975</v>
      </c>
      <c r="P17" s="16" t="n">
        <f aca="false">MOD(N17+O17,360)</f>
        <v>57.8430627809773</v>
      </c>
      <c r="Q17" s="18" t="n">
        <f aca="false">COS(P17*$C$6)</f>
        <v>0.532240137575999</v>
      </c>
      <c r="R17" s="17" t="n">
        <f aca="false">COS((23.4393-46.815*L17/3600)*$C$6)*SIN(P17*PI()/180)</f>
        <v>0.776727643659741</v>
      </c>
      <c r="S17" s="17" t="n">
        <f aca="false">SIN((23.4393-46.815*L17/3600)*$C$6)*SIN(P17*$C$6)</f>
        <v>0.336770847206032</v>
      </c>
      <c r="T17" s="18" t="n">
        <f aca="false">SQRT(1-S17^2)</f>
        <v>0.941586637793959</v>
      </c>
      <c r="U17" s="16" t="n">
        <f aca="false">ATAN(S17/T17)/$C$6</f>
        <v>19.6802582804691</v>
      </c>
      <c r="V17" s="16" t="n">
        <f aca="false">IF(2*ATAN(R17/(Q17+T17))/$C$6&gt;0, 2*ATAN(R17/(Q17+T17))/$C$6, 2*ATAN(R17/(Q17+T17))/$C$6+360)</f>
        <v>55.5797348882404</v>
      </c>
      <c r="W17" s="16" t="n">
        <f aca="false">MOD(280.46061837+360.98564736629*(K17-2451545)+0.000387933*L17^2-L17^3/3871000010 + $E$2,360)</f>
        <v>358.972255925415</v>
      </c>
      <c r="X17" s="19" t="n">
        <f aca="false">IF(W17-V17&gt;0,W17-V17,W17-V17+360)</f>
        <v>303.392521037175</v>
      </c>
      <c r="Y17" s="17" t="n">
        <f aca="false">SIN($D$2*$C$6)*SIN(U17*$C$6) +COS($D$2*$C$6)*COS(U17*$C$6)*COS(X17*$C$6)</f>
        <v>0.591088563893842</v>
      </c>
      <c r="Z17" s="31" t="n">
        <f aca="false">SIN($C$6*X17)</f>
        <v>-0.834919711792306</v>
      </c>
      <c r="AA17" s="31" t="n">
        <f aca="false">COS($C$6*X17)*SIN($C$6*$D$2) - TAN($C$6*U17)*COS($C$6*$D$2)</f>
        <v>0.191707784632928</v>
      </c>
      <c r="AB17" s="31" t="n">
        <f aca="false">IF(OR(AND(Z17*AA17&gt;0), AND(Z17&lt;0,AA17&gt;0)), MOD(ATAN2(AA17,Z17)/$C$6+360,360),  ATAN2(AA17,Z17)/$C$6)</f>
        <v>282.931661906781</v>
      </c>
      <c r="AC17" s="21" t="n">
        <f aca="false">(100013989+1670700*COS(3.0984635 + 6283.07585*L17/10)+13956*COS(3.05525 + 12566.1517*L17/10)+3084*COS(5.1985 + 77713.7715*L17/10) +1628*COS(1.1739 + 5753.3849*L17/10)+1576*COS(2.8469 + 7860.4194*L17/10)+925*COS(5.453 + 11506.77*L17/10)+542*COS(4.564 + 3930.21*L17/10)+472*COS(3.661 + 5884.927*L17/10)+346*COS(0.964 + 5507.553*L17/10)+329*COS(5.9 + 5223.694*L17/10)+307*COS(0.299 + 5573.143*L17/10)+243*COS(4.273 + 11790.629*L17/10)+212*COS(5.847 + 1577.344*L17/10)+186*COS(5.022 + 10977.079*L17/10)+175*COS(3.012 + 18849.228*L17/10)+110*COS(5.055 + 5486.778*L17/10)+98*COS(0.89 + 6069.78*L17/10)+86*COS(5.69 + 15720.84*L17/10)+86*COS(1.27 + 161000.69*L17/10)+65*COS(0.27 + 17260.15*L17/10)+63*COS(0.92 + 529.69*L17/10)+57*COS(2.01 + 83996.85*L17/10)+56*COS(5.24 + 71430.7*L17/10)+49*COS(3.25 + 2544.31*L17/10)+47*COS(2.58 + 775.52*L17/10)+45*COS(5.54 + 9437.76*L17/10)+43*COS(6.01 + 6275.96*L17/10)+39*COS(5.36 + 4694*L17/10)+38*COS(2.39 + 8827.39*L17/10)+37*COS(0.83 + 19651.05*L17/10)+37*COS(4.9 + 12139.55*L17/10)+36*COS(1.67 + 12036.46*L17/10)+35*COS(1.84 + 2942.46*L17/10)+33*COS(0.24 + 7084.9*L17/10)+32*COS(0.18 + 5088.63*L17/10)+32*COS(1.78 + 398.15*L17/10)+28*COS(1.21 + 6286.6*L17/10)+28*COS(1.9 + 6279.55*L17/10)+26*COS(4.59 + 10447.39*L17/10) +24.6*COS(3.787 + 8429.241*L17/10)+23.6*COS(0.269 + 796.3*L17/10)+27.8*COS(1.899 + 6279.55*L17/10)+23.9*COS(4.996 + 5856.48*L17/10)+20.3*COS(4.653 + 2146.165*L17/10))/100000000 + (103019*COS(1.10749 + 6283.07585*L17/10) +1721*COS(1.0644 + 12566.1517*L17/10) +702*COS(3.142 + 0*L17/10) +32*COS(1.02 + 18849.23*L17/10) +31*COS(2.84 + 5507.55*L17/10) +25*COS(1.32 + 5223.69*L17/10) +18*COS(1.42 + 1577.34*L17/10) +10*COS(5.91 + 10977.08*L17/10) +9*COS(1.42 + 6275.96*L17/10) +9*COS(0.27 + 5486.78*L17/10))*L17/1000000000  + (4359*COS(5.7846 + 6283.0758*L17/10)*L17^2+124*COS(5.579 + 12566.152*L17/10)*L17^2)/10000000000</f>
        <v>1.01168109912247</v>
      </c>
    </row>
    <row r="18" customFormat="false" ht="15" hidden="false" customHeight="false" outlineLevel="0" collapsed="false">
      <c r="D18" s="1"/>
      <c r="F18" s="20" t="n">
        <v>8</v>
      </c>
      <c r="G18" s="23" t="n">
        <f aca="false">ASIN(Y18)/$C$6</f>
        <v>40.8621245266249</v>
      </c>
      <c r="H18" s="23" t="n">
        <f aca="false">G18+1.02/(TAN($C$6*(G18+10.3/(G18+5.11)))*60)</f>
        <v>40.8816214884185</v>
      </c>
      <c r="I18" s="13" t="n">
        <f aca="false">IF(X18&gt;180,AB18-180,AB18+180)</f>
        <v>109.757617730484</v>
      </c>
      <c r="J18" s="13" t="n">
        <f aca="false">IF(ABS(4*(N18-0.0057183-V18))&lt;20,4*(N18-0.0057183-V18),4*(N18-0.0057183-V18-360))</f>
        <v>3.569712459714</v>
      </c>
      <c r="K18" s="30" t="n">
        <f aca="false">INT(365.25*IF($B$2&gt;2,$C$2+4716,$C$2-1+4716))+INT(30.6001*IF($B$2&gt;2,$B$2+1,$B$2+12+1))+$A$2+F18/24+2-INT(IF($B$2&gt;2,$C$2,$C$2-1)/100)+INT(INT(IF($B$2&gt;2,$C$2,$C$2-1)/100)/4)-1524.5</f>
        <v>2448395.83333333</v>
      </c>
      <c r="L18" s="21" t="n">
        <f aca="false">(K18-2451545)/36525</f>
        <v>-0.0862194843714308</v>
      </c>
      <c r="M18" s="16" t="n">
        <f aca="false">MOD(357.5291 + 35999.0503*L18 - 0.0001559*L18^2 - 0.00000048*L18^3,360)</f>
        <v>133.709544114176</v>
      </c>
      <c r="N18" s="16" t="n">
        <f aca="false">MOD(280.46645 + 36000.76983*L18 + 0.0003032*L18^2,360)</f>
        <v>56.498640536764</v>
      </c>
      <c r="O18" s="17" t="n">
        <f aca="false"> MOD((1.9146 - 0.004817*L18 - 0.000014*L18^2)*SIN(M18*$C$6) + (0.019993 - 0.000101*L18)*SIN(2*M18*$C$6) + 0.00029*SIN(3*M18*$C$6),360)</f>
        <v>1.36448200559577</v>
      </c>
      <c r="P18" s="16" t="n">
        <f aca="false">MOD(N18+O18,360)</f>
        <v>57.8631225423598</v>
      </c>
      <c r="Q18" s="18" t="n">
        <f aca="false">COS(P18*$C$6)</f>
        <v>0.531943705081634</v>
      </c>
      <c r="R18" s="17" t="n">
        <f aca="false">COS((23.4393-46.815*L18/3600)*$C$6)*SIN(P18*PI()/180)</f>
        <v>0.776898560076247</v>
      </c>
      <c r="S18" s="17" t="n">
        <f aca="false">SIN((23.4393-46.815*L18/3600)*$C$6)*SIN(P18*$C$6)</f>
        <v>0.336844952426894</v>
      </c>
      <c r="T18" s="18" t="n">
        <f aca="false">SQRT(1-S18^2)</f>
        <v>0.941560129797627</v>
      </c>
      <c r="U18" s="16" t="n">
        <f aca="false">ATAN(S18/T18)/$C$6</f>
        <v>19.6847676649379</v>
      </c>
      <c r="V18" s="16" t="n">
        <f aca="false">IF(2*ATAN(R18/(Q18+T18))/$C$6&gt;0, 2*ATAN(R18/(Q18+T18))/$C$6, 2*ATAN(R18/(Q18+T18))/$C$6+360)</f>
        <v>55.6004941218355</v>
      </c>
      <c r="W18" s="16" t="n">
        <f aca="false">MOD(280.46061837+360.98564736629*(K18-2451545)+0.000387933*L18^2-L18^3/3871000010 + $E$2,360)</f>
        <v>6.49279030156322</v>
      </c>
      <c r="X18" s="19" t="n">
        <f aca="false">IF(W18-V18&gt;0,W18-V18,W18-V18+360)</f>
        <v>310.892296179728</v>
      </c>
      <c r="Y18" s="17" t="n">
        <f aca="false">SIN($D$2*$C$6)*SIN(U18*$C$6) +COS($D$2*$C$6)*COS(U18*$C$6)*COS(X18*$C$6)</f>
        <v>0.654241012463398</v>
      </c>
      <c r="Z18" s="31" t="n">
        <f aca="false">SIN($C$6*X18)</f>
        <v>-0.755941496839355</v>
      </c>
      <c r="AA18" s="31" t="n">
        <f aca="false">COS($C$6*X18)*SIN($C$6*$D$2) - TAN($C$6*U18)*COS($C$6*$D$2)</f>
        <v>0.271524197432294</v>
      </c>
      <c r="AB18" s="31" t="n">
        <f aca="false">IF(OR(AND(Z18*AA18&gt;0), AND(Z18&lt;0,AA18&gt;0)), MOD(ATAN2(AA18,Z18)/$C$6+360,360),  ATAN2(AA18,Z18)/$C$6)</f>
        <v>289.757617730484</v>
      </c>
      <c r="AC18" s="21" t="n">
        <f aca="false">(100013989+1670700*COS(3.0984635 + 6283.07585*L18/10)+13956*COS(3.05525 + 12566.1517*L18/10)+3084*COS(5.1985 + 77713.7715*L18/10) +1628*COS(1.1739 + 5753.3849*L18/10)+1576*COS(2.8469 + 7860.4194*L18/10)+925*COS(5.453 + 11506.77*L18/10)+542*COS(4.564 + 3930.21*L18/10)+472*COS(3.661 + 5884.927*L18/10)+346*COS(0.964 + 5507.553*L18/10)+329*COS(5.9 + 5223.694*L18/10)+307*COS(0.299 + 5573.143*L18/10)+243*COS(4.273 + 11790.629*L18/10)+212*COS(5.847 + 1577.344*L18/10)+186*COS(5.022 + 10977.079*L18/10)+175*COS(3.012 + 18849.228*L18/10)+110*COS(5.055 + 5486.778*L18/10)+98*COS(0.89 + 6069.78*L18/10)+86*COS(5.69 + 15720.84*L18/10)+86*COS(1.27 + 161000.69*L18/10)+65*COS(0.27 + 17260.15*L18/10)+63*COS(0.92 + 529.69*L18/10)+57*COS(2.01 + 83996.85*L18/10)+56*COS(5.24 + 71430.7*L18/10)+49*COS(3.25 + 2544.31*L18/10)+47*COS(2.58 + 775.52*L18/10)+45*COS(5.54 + 9437.76*L18/10)+43*COS(6.01 + 6275.96*L18/10)+39*COS(5.36 + 4694*L18/10)+38*COS(2.39 + 8827.39*L18/10)+37*COS(0.83 + 19651.05*L18/10)+37*COS(4.9 + 12139.55*L18/10)+36*COS(1.67 + 12036.46*L18/10)+35*COS(1.84 + 2942.46*L18/10)+33*COS(0.24 + 7084.9*L18/10)+32*COS(0.18 + 5088.63*L18/10)+32*COS(1.78 + 398.15*L18/10)+28*COS(1.21 + 6286.6*L18/10)+28*COS(1.9 + 6279.55*L18/10)+26*COS(4.59 + 10447.39*L18/10) +24.6*COS(3.787 + 8429.241*L18/10)+23.6*COS(0.269 + 796.3*L18/10)+27.8*COS(1.899 + 6279.55*L18/10)+23.9*COS(4.996 + 5856.48*L18/10)+20.3*COS(4.653 + 2146.165*L18/10))/100000000 + (103019*COS(1.10749 + 6283.07585*L18/10) +1721*COS(1.0644 + 12566.1517*L18/10) +702*COS(3.142 + 0*L18/10) +32*COS(1.02 + 18849.23*L18/10) +31*COS(2.84 + 5507.55*L18/10) +25*COS(1.32 + 5223.69*L18/10) +18*COS(1.42 + 1577.34*L18/10) +10*COS(5.91 + 10977.08*L18/10) +9*COS(1.42 + 6275.96*L18/10) +9*COS(0.27 + 5486.78*L18/10))*L18/1000000000  + (4359*COS(5.7846 + 6283.0758*L18/10)*L18^2+124*COS(5.579 + 12566.152*L18/10)*L18^2)/10000000000</f>
        <v>1.01168519521908</v>
      </c>
    </row>
    <row r="19" customFormat="false" ht="15" hidden="false" customHeight="false" outlineLevel="0" collapsed="false">
      <c r="D19" s="1"/>
      <c r="F19" s="20" t="n">
        <v>8.5</v>
      </c>
      <c r="G19" s="23" t="n">
        <f aca="false">ASIN(Y19)/$C$6</f>
        <v>45.284676479678</v>
      </c>
      <c r="H19" s="23" t="n">
        <f aca="false">G19+1.02/(TAN($C$6*(G19+10.3/(G19+5.11)))*60)</f>
        <v>45.3013887130825</v>
      </c>
      <c r="I19" s="13" t="n">
        <f aca="false">IF(X19&gt;180,AB19-180,AB19+180)</f>
        <v>117.301999458599</v>
      </c>
      <c r="J19" s="13" t="n">
        <f aca="false">IF(ABS(4*(N19-0.0057183-V19))&lt;20,4*(N19-0.0057183-V19),4*(N19-0.0057183-V19-360))</f>
        <v>3.56880882533702</v>
      </c>
      <c r="K19" s="30" t="n">
        <f aca="false">INT(365.25*IF($B$2&gt;2,$C$2+4716,$C$2-1+4716))+INT(30.6001*IF($B$2&gt;2,$B$2+1,$B$2+12+1))+$A$2+F19/24+2-INT(IF($B$2&gt;2,$C$2,$C$2-1)/100)+INT(INT(IF($B$2&gt;2,$C$2,$C$2-1)/100)/4)-1524.5</f>
        <v>2448395.85416667</v>
      </c>
      <c r="L19" s="21" t="n">
        <f aca="false">(K19-2451545)/36525</f>
        <v>-0.0862189139858587</v>
      </c>
      <c r="M19" s="16" t="n">
        <f aca="false">MOD(357.5291 + 35999.0503*L19 - 0.0001559*L19^2 - 0.00000048*L19^3,360)</f>
        <v>133.730077453094</v>
      </c>
      <c r="N19" s="16" t="n">
        <f aca="false">MOD(280.46645 + 36000.76983*L19 + 0.0003032*L19^2,360)</f>
        <v>56.5191748564321</v>
      </c>
      <c r="O19" s="17" t="n">
        <f aca="false"> MOD((1.9146 - 0.004817*L19 - 0.000014*L19^2)*SIN(M19*$C$6) + (0.019993 - 0.000101*L19)*SIN(2*M19*$C$6) + 0.00029*SIN(3*M19*$C$6),360)</f>
        <v>1.36400727912313</v>
      </c>
      <c r="P19" s="16" t="n">
        <f aca="false">MOD(N19+O19,360)</f>
        <v>57.8831821355552</v>
      </c>
      <c r="Q19" s="18" t="n">
        <f aca="false">COS(P19*$C$6)</f>
        <v>0.531647209869816</v>
      </c>
      <c r="R19" s="17" t="n">
        <f aca="false">COS((23.4393-46.815*L19/3600)*$C$6)*SIN(P19*PI()/180)</f>
        <v>0.777069379831661</v>
      </c>
      <c r="S19" s="17" t="n">
        <f aca="false">SIN((23.4393-46.815*L19/3600)*$C$6)*SIN(P19*$C$6)</f>
        <v>0.336919015737725</v>
      </c>
      <c r="T19" s="18" t="n">
        <f aca="false">SQRT(1-S19^2)</f>
        <v>0.941533630219507</v>
      </c>
      <c r="U19" s="16" t="n">
        <f aca="false">ATAN(S19/T19)/$C$6</f>
        <v>19.6892746259988</v>
      </c>
      <c r="V19" s="16" t="n">
        <f aca="false">IF(2*ATAN(R19/(Q19+T19))/$C$6&gt;0, 2*ATAN(R19/(Q19+T19))/$C$6, 2*ATAN(R19/(Q19+T19))/$C$6+360)</f>
        <v>55.6212543500978</v>
      </c>
      <c r="W19" s="16" t="n">
        <f aca="false">MOD(280.46061837+360.98564736629*(K19-2451545)+0.000387933*L19^2-L19^3/3871000010 + $E$2,360)</f>
        <v>14.0133245096076</v>
      </c>
      <c r="X19" s="19" t="n">
        <f aca="false">IF(W19-V19&gt;0,W19-V19,W19-V19+360)</f>
        <v>318.39207015951</v>
      </c>
      <c r="Y19" s="17" t="n">
        <f aca="false">SIN($D$2*$C$6)*SIN(U19*$C$6) +COS($D$2*$C$6)*COS(U19*$C$6)*COS(X19*$C$6)</f>
        <v>0.710611328437332</v>
      </c>
      <c r="Z19" s="31" t="n">
        <f aca="false">SIN($C$6*X19)</f>
        <v>-0.664029702914125</v>
      </c>
      <c r="AA19" s="31" t="n">
        <f aca="false">COS($C$6*X19)*SIN($C$6*$D$2) - TAN($C$6*U19)*COS($C$6*$D$2)</f>
        <v>0.342760633013777</v>
      </c>
      <c r="AB19" s="31" t="n">
        <f aca="false">IF(OR(AND(Z19*AA19&gt;0), AND(Z19&lt;0,AA19&gt;0)), MOD(ATAN2(AA19,Z19)/$C$6+360,360),  ATAN2(AA19,Z19)/$C$6)</f>
        <v>297.301999458599</v>
      </c>
      <c r="AC19" s="21" t="n">
        <f aca="false">(100013989+1670700*COS(3.0984635 + 6283.07585*L19/10)+13956*COS(3.05525 + 12566.1517*L19/10)+3084*COS(5.1985 + 77713.7715*L19/10) +1628*COS(1.1739 + 5753.3849*L19/10)+1576*COS(2.8469 + 7860.4194*L19/10)+925*COS(5.453 + 11506.77*L19/10)+542*COS(4.564 + 3930.21*L19/10)+472*COS(3.661 + 5884.927*L19/10)+346*COS(0.964 + 5507.553*L19/10)+329*COS(5.9 + 5223.694*L19/10)+307*COS(0.299 + 5573.143*L19/10)+243*COS(4.273 + 11790.629*L19/10)+212*COS(5.847 + 1577.344*L19/10)+186*COS(5.022 + 10977.079*L19/10)+175*COS(3.012 + 18849.228*L19/10)+110*COS(5.055 + 5486.778*L19/10)+98*COS(0.89 + 6069.78*L19/10)+86*COS(5.69 + 15720.84*L19/10)+86*COS(1.27 + 161000.69*L19/10)+65*COS(0.27 + 17260.15*L19/10)+63*COS(0.92 + 529.69*L19/10)+57*COS(2.01 + 83996.85*L19/10)+56*COS(5.24 + 71430.7*L19/10)+49*COS(3.25 + 2544.31*L19/10)+47*COS(2.58 + 775.52*L19/10)+45*COS(5.54 + 9437.76*L19/10)+43*COS(6.01 + 6275.96*L19/10)+39*COS(5.36 + 4694*L19/10)+38*COS(2.39 + 8827.39*L19/10)+37*COS(0.83 + 19651.05*L19/10)+37*COS(4.9 + 12139.55*L19/10)+36*COS(1.67 + 12036.46*L19/10)+35*COS(1.84 + 2942.46*L19/10)+33*COS(0.24 + 7084.9*L19/10)+32*COS(0.18 + 5088.63*L19/10)+32*COS(1.78 + 398.15*L19/10)+28*COS(1.21 + 6286.6*L19/10)+28*COS(1.9 + 6279.55*L19/10)+26*COS(4.59 + 10447.39*L19/10) +24.6*COS(3.787 + 8429.241*L19/10)+23.6*COS(0.269 + 796.3*L19/10)+27.8*COS(1.899 + 6279.55*L19/10)+23.9*COS(4.996 + 5856.48*L19/10)+20.3*COS(4.653 + 2146.165*L19/10))/100000000 + (103019*COS(1.10749 + 6283.07585*L19/10) +1721*COS(1.0644 + 12566.1517*L19/10) +702*COS(3.142 + 0*L19/10) +32*COS(1.02 + 18849.23*L19/10) +31*COS(2.84 + 5507.55*L19/10) +25*COS(1.32 + 5223.69*L19/10) +18*COS(1.42 + 1577.34*L19/10) +10*COS(5.91 + 10977.08*L19/10) +9*COS(1.42 + 6275.96*L19/10) +9*COS(0.27 + 5486.78*L19/10))*L19/1000000000  + (4359*COS(5.7846 + 6283.0758*L19/10)*L19^2+124*COS(5.579 + 12566.152*L19/10)*L19^2)/10000000000</f>
        <v>1.01168928959121</v>
      </c>
    </row>
    <row r="20" customFormat="false" ht="15" hidden="false" customHeight="false" outlineLevel="0" collapsed="false">
      <c r="D20" s="1"/>
      <c r="F20" s="20" t="n">
        <v>9</v>
      </c>
      <c r="G20" s="23" t="n">
        <f aca="false">ASIN(Y20)/$C$6</f>
        <v>49.3969306753124</v>
      </c>
      <c r="H20" s="23" t="n">
        <f aca="false">G20+1.02/(TAN($C$6*(G20+10.3/(G20+5.11)))*60)</f>
        <v>49.4114060259324</v>
      </c>
      <c r="I20" s="13" t="n">
        <f aca="false">IF(X20&gt;180,AB20-180,AB20+180)</f>
        <v>125.784316541261</v>
      </c>
      <c r="J20" s="13" t="n">
        <f aca="false">IF(ABS(4*(N20-0.0057183-V20))&lt;20,4*(N20-0.0057183-V20),4*(N20-0.0057183-V20-360))</f>
        <v>3.56790121133446</v>
      </c>
      <c r="K20" s="30" t="n">
        <f aca="false">INT(365.25*IF($B$2&gt;2,$C$2+4716,$C$2-1+4716))+INT(30.6001*IF($B$2&gt;2,$B$2+1,$B$2+12+1))+$A$2+F20/24+2-INT(IF($B$2&gt;2,$C$2,$C$2-1)/100)+INT(INT(IF($B$2&gt;2,$C$2,$C$2-1)/100)/4)-1524.5</f>
        <v>2448395.875</v>
      </c>
      <c r="L20" s="21" t="n">
        <f aca="false">(K20-2451545)/36525</f>
        <v>-0.0862183436002738</v>
      </c>
      <c r="M20" s="16" t="n">
        <f aca="false">MOD(357.5291 + 35999.0503*L20 - 0.0001559*L20^2 - 0.00000048*L20^3,360)</f>
        <v>133.75061079247</v>
      </c>
      <c r="N20" s="16" t="n">
        <f aca="false">MOD(280.46645 + 36000.76983*L20 + 0.0003032*L20^2,360)</f>
        <v>56.5397091765581</v>
      </c>
      <c r="O20" s="17" t="n">
        <f aca="false"> MOD((1.9146 - 0.004817*L20 - 0.000014*L20^2)*SIN(M20*$C$6) + (0.019993 - 0.000101*L20)*SIN(2*M20*$C$6) + 0.00029*SIN(3*M20*$C$6),360)</f>
        <v>1.3635323849616</v>
      </c>
      <c r="P20" s="16" t="n">
        <f aca="false">MOD(N20+O20,360)</f>
        <v>57.9032415615197</v>
      </c>
      <c r="Q20" s="18" t="n">
        <f aca="false">COS(P20*$C$6)</f>
        <v>0.531350651964388</v>
      </c>
      <c r="R20" s="17" t="n">
        <f aca="false">COS((23.4393-46.815*L20/3600)*$C$6)*SIN(P20*PI()/180)</f>
        <v>0.777240102915574</v>
      </c>
      <c r="S20" s="17" t="n">
        <f aca="false">SIN((23.4393-46.815*L20/3600)*$C$6)*SIN(P20*$C$6)</f>
        <v>0.336993037134014</v>
      </c>
      <c r="T20" s="18" t="n">
        <f aca="false">SQRT(1-S20^2)</f>
        <v>0.941507139071814</v>
      </c>
      <c r="U20" s="16" t="n">
        <f aca="false">ATAN(S20/T20)/$C$6</f>
        <v>19.6937791632006</v>
      </c>
      <c r="V20" s="16" t="n">
        <f aca="false">IF(2*ATAN(R20/(Q20+T20))/$C$6&gt;0, 2*ATAN(R20/(Q20+T20))/$C$6, 2*ATAN(R20/(Q20+T20))/$C$6+360)</f>
        <v>55.6420155737245</v>
      </c>
      <c r="W20" s="16" t="n">
        <f aca="false">MOD(280.46061837+360.98564736629*(K20-2451545)+0.000387933*L20^2-L20^3/3871000010 + $E$2,360)</f>
        <v>21.5338588859886</v>
      </c>
      <c r="X20" s="19" t="n">
        <f aca="false">IF(W20-V20&gt;0,W20-V20,W20-V20+360)</f>
        <v>325.891843312264</v>
      </c>
      <c r="Y20" s="17" t="n">
        <f aca="false">SIN($D$2*$C$6)*SIN(U20*$C$6) +COS($D$2*$C$6)*COS(U20*$C$6)*COS(X20*$C$6)</f>
        <v>0.759236444386719</v>
      </c>
      <c r="Z20" s="31" t="n">
        <f aca="false">SIN($C$6*X20)</f>
        <v>-0.560756872426236</v>
      </c>
      <c r="AA20" s="31" t="n">
        <f aca="false">COS($C$6*X20)*SIN($C$6*$D$2) - TAN($C$6*U20)*COS($C$6*$D$2)</f>
        <v>0.404197320528079</v>
      </c>
      <c r="AB20" s="31" t="n">
        <f aca="false">IF(OR(AND(Z20*AA20&gt;0), AND(Z20&lt;0,AA20&gt;0)), MOD(ATAN2(AA20,Z20)/$C$6+360,360),  ATAN2(AA20,Z20)/$C$6)</f>
        <v>305.784316541261</v>
      </c>
      <c r="AC20" s="21" t="n">
        <f aca="false">(100013989+1670700*COS(3.0984635 + 6283.07585*L20/10)+13956*COS(3.05525 + 12566.1517*L20/10)+3084*COS(5.1985 + 77713.7715*L20/10) +1628*COS(1.1739 + 5753.3849*L20/10)+1576*COS(2.8469 + 7860.4194*L20/10)+925*COS(5.453 + 11506.77*L20/10)+542*COS(4.564 + 3930.21*L20/10)+472*COS(3.661 + 5884.927*L20/10)+346*COS(0.964 + 5507.553*L20/10)+329*COS(5.9 + 5223.694*L20/10)+307*COS(0.299 + 5573.143*L20/10)+243*COS(4.273 + 11790.629*L20/10)+212*COS(5.847 + 1577.344*L20/10)+186*COS(5.022 + 10977.079*L20/10)+175*COS(3.012 + 18849.228*L20/10)+110*COS(5.055 + 5486.778*L20/10)+98*COS(0.89 + 6069.78*L20/10)+86*COS(5.69 + 15720.84*L20/10)+86*COS(1.27 + 161000.69*L20/10)+65*COS(0.27 + 17260.15*L20/10)+63*COS(0.92 + 529.69*L20/10)+57*COS(2.01 + 83996.85*L20/10)+56*COS(5.24 + 71430.7*L20/10)+49*COS(3.25 + 2544.31*L20/10)+47*COS(2.58 + 775.52*L20/10)+45*COS(5.54 + 9437.76*L20/10)+43*COS(6.01 + 6275.96*L20/10)+39*COS(5.36 + 4694*L20/10)+38*COS(2.39 + 8827.39*L20/10)+37*COS(0.83 + 19651.05*L20/10)+37*COS(4.9 + 12139.55*L20/10)+36*COS(1.67 + 12036.46*L20/10)+35*COS(1.84 + 2942.46*L20/10)+33*COS(0.24 + 7084.9*L20/10)+32*COS(0.18 + 5088.63*L20/10)+32*COS(1.78 + 398.15*L20/10)+28*COS(1.21 + 6286.6*L20/10)+28*COS(1.9 + 6279.55*L20/10)+26*COS(4.59 + 10447.39*L20/10) +24.6*COS(3.787 + 8429.241*L20/10)+23.6*COS(0.269 + 796.3*L20/10)+27.8*COS(1.899 + 6279.55*L20/10)+23.9*COS(4.996 + 5856.48*L20/10)+20.3*COS(4.653 + 2146.165*L20/10))/100000000 + (103019*COS(1.10749 + 6283.07585*L20/10) +1721*COS(1.0644 + 12566.1517*L20/10) +702*COS(3.142 + 0*L20/10) +32*COS(1.02 + 18849.23*L20/10) +31*COS(2.84 + 5507.55*L20/10) +25*COS(1.32 + 5223.69*L20/10) +18*COS(1.42 + 1577.34*L20/10) +10*COS(5.91 + 10977.08*L20/10) +9*COS(1.42 + 6275.96*L20/10) +9*COS(0.27 + 5486.78*L20/10))*L20/1000000000  + (4359*COS(5.7846 + 6283.0758*L20/10)*L20^2+124*COS(5.579 + 12566.152*L20/10)*L20^2)/10000000000</f>
        <v>1.01169338224167</v>
      </c>
    </row>
    <row r="21" customFormat="false" ht="15" hidden="false" customHeight="false" outlineLevel="0" collapsed="false">
      <c r="D21" s="1"/>
      <c r="F21" s="20" t="n">
        <v>9.5</v>
      </c>
      <c r="G21" s="23" t="n">
        <f aca="false">ASIN(Y21)/$C$6</f>
        <v>53.061960423457</v>
      </c>
      <c r="H21" s="23" t="n">
        <f aca="false">G21+1.02/(TAN($C$6*(G21+10.3/(G21+5.11)))*60)</f>
        <v>53.0746599999557</v>
      </c>
      <c r="I21" s="13" t="n">
        <f aca="false">IF(X21&gt;180,AB21-180,AB21+180)</f>
        <v>135.437465019181</v>
      </c>
      <c r="J21" s="13" t="n">
        <f aca="false">IF(ABS(4*(N21-0.0057183-V21))&lt;20,4*(N21-0.0057183-V21),4*(N21-0.0057183-V21-360))</f>
        <v>3.56698961864603</v>
      </c>
      <c r="K21" s="30" t="n">
        <f aca="false">INT(365.25*IF($B$2&gt;2,$C$2+4716,$C$2-1+4716))+INT(30.6001*IF($B$2&gt;2,$B$2+1,$B$2+12+1))+$A$2+F21/24+2-INT(IF($B$2&gt;2,$C$2,$C$2-1)/100)+INT(INT(IF($B$2&gt;2,$C$2,$C$2-1)/100)/4)-1524.5</f>
        <v>2448395.89583333</v>
      </c>
      <c r="L21" s="21" t="n">
        <f aca="false">(K21-2451545)/36525</f>
        <v>-0.0862177732146889</v>
      </c>
      <c r="M21" s="16" t="n">
        <f aca="false">MOD(357.5291 + 35999.0503*L21 - 0.0001559*L21^2 - 0.00000048*L21^3,360)</f>
        <v>133.771144131846</v>
      </c>
      <c r="N21" s="16" t="n">
        <f aca="false">MOD(280.46645 + 36000.76983*L21 + 0.0003032*L21^2,360)</f>
        <v>56.5602434966845</v>
      </c>
      <c r="O21" s="17" t="n">
        <f aca="false"> MOD((1.9146 - 0.004817*L21 - 0.000014*L21^2)*SIN(M21*$C$6) + (0.019993 - 0.000101*L21)*SIN(2*M21*$C$6) + 0.00029*SIN(3*M21*$C$6),360)</f>
        <v>1.36305732318278</v>
      </c>
      <c r="P21" s="16" t="n">
        <f aca="false">MOD(N21+O21,360)</f>
        <v>57.9233008198673</v>
      </c>
      <c r="Q21" s="18" t="n">
        <f aca="false">COS(P21*$C$6)</f>
        <v>0.531054031409038</v>
      </c>
      <c r="R21" s="17" t="n">
        <f aca="false">COS((23.4393-46.815*L21/3600)*$C$6)*SIN(P21*PI()/180)</f>
        <v>0.777410729306162</v>
      </c>
      <c r="S21" s="17" t="n">
        <f aca="false">SIN((23.4393-46.815*L21/3600)*$C$6)*SIN(P21*$C$6)</f>
        <v>0.337067016606298</v>
      </c>
      <c r="T21" s="18" t="n">
        <f aca="false">SQRT(1-S21^2)</f>
        <v>0.941480656368536</v>
      </c>
      <c r="U21" s="16" t="n">
        <f aca="false">ATAN(S21/T21)/$C$6</f>
        <v>19.6982812757905</v>
      </c>
      <c r="V21" s="16" t="n">
        <f aca="false">IF(2*ATAN(R21/(Q21+T21))/$C$6&gt;0, 2*ATAN(R21/(Q21+T21))/$C$6, 2*ATAN(R21/(Q21+T21))/$C$6+360)</f>
        <v>55.662777792023</v>
      </c>
      <c r="W21" s="16" t="n">
        <f aca="false">MOD(280.46061837+360.98564736629*(K21-2451545)+0.000387933*L21^2-L21^3/3871000010 + $E$2,360)</f>
        <v>29.0543932619039</v>
      </c>
      <c r="X21" s="19" t="n">
        <f aca="false">IF(W21-V21&gt;0,W21-V21,W21-V21+360)</f>
        <v>333.391615469881</v>
      </c>
      <c r="Y21" s="17" t="n">
        <f aca="false">SIN($D$2*$C$6)*SIN(U21*$C$6) +COS($D$2*$C$6)*COS(U21*$C$6)*COS(X21*$C$6)</f>
        <v>0.799285853763874</v>
      </c>
      <c r="Z21" s="31" t="n">
        <f aca="false">SIN($C$6*X21)</f>
        <v>-0.447889931479833</v>
      </c>
      <c r="AA21" s="31" t="n">
        <f aca="false">COS($C$6*X21)*SIN($C$6*$D$2) - TAN($C$6*U21)*COS($C$6*$D$2)</f>
        <v>0.454782151766325</v>
      </c>
      <c r="AB21" s="31" t="n">
        <f aca="false">IF(OR(AND(Z21*AA21&gt;0), AND(Z21&lt;0,AA21&gt;0)), MOD(ATAN2(AA21,Z21)/$C$6+360,360),  ATAN2(AA21,Z21)/$C$6)</f>
        <v>315.437465019181</v>
      </c>
      <c r="AC21" s="21" t="n">
        <f aca="false">(100013989+1670700*COS(3.0984635 + 6283.07585*L21/10)+13956*COS(3.05525 + 12566.1517*L21/10)+3084*COS(5.1985 + 77713.7715*L21/10) +1628*COS(1.1739 + 5753.3849*L21/10)+1576*COS(2.8469 + 7860.4194*L21/10)+925*COS(5.453 + 11506.77*L21/10)+542*COS(4.564 + 3930.21*L21/10)+472*COS(3.661 + 5884.927*L21/10)+346*COS(0.964 + 5507.553*L21/10)+329*COS(5.9 + 5223.694*L21/10)+307*COS(0.299 + 5573.143*L21/10)+243*COS(4.273 + 11790.629*L21/10)+212*COS(5.847 + 1577.344*L21/10)+186*COS(5.022 + 10977.079*L21/10)+175*COS(3.012 + 18849.228*L21/10)+110*COS(5.055 + 5486.778*L21/10)+98*COS(0.89 + 6069.78*L21/10)+86*COS(5.69 + 15720.84*L21/10)+86*COS(1.27 + 161000.69*L21/10)+65*COS(0.27 + 17260.15*L21/10)+63*COS(0.92 + 529.69*L21/10)+57*COS(2.01 + 83996.85*L21/10)+56*COS(5.24 + 71430.7*L21/10)+49*COS(3.25 + 2544.31*L21/10)+47*COS(2.58 + 775.52*L21/10)+45*COS(5.54 + 9437.76*L21/10)+43*COS(6.01 + 6275.96*L21/10)+39*COS(5.36 + 4694*L21/10)+38*COS(2.39 + 8827.39*L21/10)+37*COS(0.83 + 19651.05*L21/10)+37*COS(4.9 + 12139.55*L21/10)+36*COS(1.67 + 12036.46*L21/10)+35*COS(1.84 + 2942.46*L21/10)+33*COS(0.24 + 7084.9*L21/10)+32*COS(0.18 + 5088.63*L21/10)+32*COS(1.78 + 398.15*L21/10)+28*COS(1.21 + 6286.6*L21/10)+28*COS(1.9 + 6279.55*L21/10)+26*COS(4.59 + 10447.39*L21/10) +24.6*COS(3.787 + 8429.241*L21/10)+23.6*COS(0.269 + 796.3*L21/10)+27.8*COS(1.899 + 6279.55*L21/10)+23.9*COS(4.996 + 5856.48*L21/10)+20.3*COS(4.653 + 2146.165*L21/10))/100000000 + (103019*COS(1.10749 + 6283.07585*L21/10) +1721*COS(1.0644 + 12566.1517*L21/10) +702*COS(3.142 + 0*L21/10) +32*COS(1.02 + 18849.23*L21/10) +31*COS(2.84 + 5507.55*L21/10) +25*COS(1.32 + 5223.69*L21/10) +18*COS(1.42 + 1577.34*L21/10) +10*COS(5.91 + 10977.08*L21/10) +9*COS(1.42 + 6275.96*L21/10) +9*COS(0.27 + 5486.78*L21/10))*L21/1000000000  + (4359*COS(5.7846 + 6283.0758*L21/10)*L21^2+124*COS(5.579 + 12566.152*L21/10)*L21^2)/10000000000</f>
        <v>1.01169747317298</v>
      </c>
    </row>
    <row r="22" customFormat="false" ht="15" hidden="false" customHeight="false" outlineLevel="0" collapsed="false">
      <c r="D22" s="1"/>
      <c r="F22" s="20" t="n">
        <v>10</v>
      </c>
      <c r="G22" s="23" t="n">
        <f aca="false">ASIN(Y22)/$C$6</f>
        <v>56.1065270120292</v>
      </c>
      <c r="H22" s="23" t="n">
        <f aca="false">G22+1.02/(TAN($C$6*(G22+10.3/(G22+5.11)))*60)</f>
        <v>56.117875416055</v>
      </c>
      <c r="I22" s="13" t="n">
        <f aca="false">IF(X22&gt;180,AB22-180,AB22+180)</f>
        <v>146.449907986756</v>
      </c>
      <c r="J22" s="13" t="n">
        <f aca="false">IF(ABS(4*(N22-0.0057183-V22))&lt;20,4*(N22-0.0057183-V22),4*(N22-0.0057183-V22-360))</f>
        <v>3.56607404821435</v>
      </c>
      <c r="K22" s="30" t="n">
        <f aca="false">INT(365.25*IF($B$2&gt;2,$C$2+4716,$C$2-1+4716))+INT(30.6001*IF($B$2&gt;2,$B$2+1,$B$2+12+1))+$A$2+F22/24+2-INT(IF($B$2&gt;2,$C$2,$C$2-1)/100)+INT(INT(IF($B$2&gt;2,$C$2,$C$2-1)/100)/4)-1524.5</f>
        <v>2448395.91666667</v>
      </c>
      <c r="L22" s="21" t="n">
        <f aca="false">(K22-2451545)/36525</f>
        <v>-0.0862172028291167</v>
      </c>
      <c r="M22" s="16" t="n">
        <f aca="false">MOD(357.5291 + 35999.0503*L22 - 0.0001559*L22^2 - 0.00000048*L22^3,360)</f>
        <v>133.791677470764</v>
      </c>
      <c r="N22" s="16" t="n">
        <f aca="false">MOD(280.46645 + 36000.76983*L22 + 0.0003032*L22^2,360)</f>
        <v>56.580777816353</v>
      </c>
      <c r="O22" s="17" t="n">
        <f aca="false"> MOD((1.9146 - 0.004817*L22 - 0.000014*L22^2)*SIN(M22*$C$6) + (0.019993 - 0.000101*L22)*SIN(2*M22*$C$6) + 0.00029*SIN(3*M22*$C$6),360)</f>
        <v>1.36258209385829</v>
      </c>
      <c r="P22" s="16" t="n">
        <f aca="false">MOD(N22+O22,360)</f>
        <v>57.9433599102113</v>
      </c>
      <c r="Q22" s="18" t="n">
        <f aca="false">COS(P22*$C$6)</f>
        <v>0.530757348247474</v>
      </c>
      <c r="R22" s="17" t="n">
        <f aca="false">COS((23.4393-46.815*L22/3600)*$C$6)*SIN(P22*PI()/180)</f>
        <v>0.777581258981612</v>
      </c>
      <c r="S22" s="17" t="n">
        <f aca="false">SIN((23.4393-46.815*L22/3600)*$C$6)*SIN(P22*$C$6)</f>
        <v>0.337140954145119</v>
      </c>
      <c r="T22" s="18" t="n">
        <f aca="false">SQRT(1-S22^2)</f>
        <v>0.941454182123654</v>
      </c>
      <c r="U22" s="16" t="n">
        <f aca="false">ATAN(S22/T22)/$C$6</f>
        <v>19.7027809630163</v>
      </c>
      <c r="V22" s="16" t="n">
        <f aca="false">IF(2*ATAN(R22/(Q22+T22))/$C$6&gt;0, 2*ATAN(R22/(Q22+T22))/$C$6, 2*ATAN(R22/(Q22+T22))/$C$6+360)</f>
        <v>55.6835410042994</v>
      </c>
      <c r="W22" s="16" t="n">
        <f aca="false">MOD(280.46061837+360.98564736629*(K22-2451545)+0.000387933*L22^2-L22^3/3871000010 + $E$2,360)</f>
        <v>36.5749274699483</v>
      </c>
      <c r="X22" s="19" t="n">
        <f aca="false">IF(W22-V22&gt;0,W22-V22,W22-V22+360)</f>
        <v>340.891386465649</v>
      </c>
      <c r="Y22" s="17" t="n">
        <f aca="false">SIN($D$2*$C$6)*SIN(U22*$C$6) +COS($D$2*$C$6)*COS(U22*$C$6)*COS(X22*$C$6)</f>
        <v>0.83007581683337</v>
      </c>
      <c r="Z22" s="31" t="n">
        <f aca="false">SIN($C$6*X22)</f>
        <v>-0.327359953735916</v>
      </c>
      <c r="AA22" s="31" t="n">
        <f aca="false">COS($C$6*X22)*SIN($C$6*$D$2) - TAN($C$6*U22)*COS($C$6*$D$2)</f>
        <v>0.493648687623212</v>
      </c>
      <c r="AB22" s="31" t="n">
        <f aca="false">IF(OR(AND(Z22*AA22&gt;0), AND(Z22&lt;0,AA22&gt;0)), MOD(ATAN2(AA22,Z22)/$C$6+360,360),  ATAN2(AA22,Z22)/$C$6)</f>
        <v>326.449907986756</v>
      </c>
      <c r="AC22" s="21" t="n">
        <f aca="false">(100013989+1670700*COS(3.0984635 + 6283.07585*L22/10)+13956*COS(3.05525 + 12566.1517*L22/10)+3084*COS(5.1985 + 77713.7715*L22/10) +1628*COS(1.1739 + 5753.3849*L22/10)+1576*COS(2.8469 + 7860.4194*L22/10)+925*COS(5.453 + 11506.77*L22/10)+542*COS(4.564 + 3930.21*L22/10)+472*COS(3.661 + 5884.927*L22/10)+346*COS(0.964 + 5507.553*L22/10)+329*COS(5.9 + 5223.694*L22/10)+307*COS(0.299 + 5573.143*L22/10)+243*COS(4.273 + 11790.629*L22/10)+212*COS(5.847 + 1577.344*L22/10)+186*COS(5.022 + 10977.079*L22/10)+175*COS(3.012 + 18849.228*L22/10)+110*COS(5.055 + 5486.778*L22/10)+98*COS(0.89 + 6069.78*L22/10)+86*COS(5.69 + 15720.84*L22/10)+86*COS(1.27 + 161000.69*L22/10)+65*COS(0.27 + 17260.15*L22/10)+63*COS(0.92 + 529.69*L22/10)+57*COS(2.01 + 83996.85*L22/10)+56*COS(5.24 + 71430.7*L22/10)+49*COS(3.25 + 2544.31*L22/10)+47*COS(2.58 + 775.52*L22/10)+45*COS(5.54 + 9437.76*L22/10)+43*COS(6.01 + 6275.96*L22/10)+39*COS(5.36 + 4694*L22/10)+38*COS(2.39 + 8827.39*L22/10)+37*COS(0.83 + 19651.05*L22/10)+37*COS(4.9 + 12139.55*L22/10)+36*COS(1.67 + 12036.46*L22/10)+35*COS(1.84 + 2942.46*L22/10)+33*COS(0.24 + 7084.9*L22/10)+32*COS(0.18 + 5088.63*L22/10)+32*COS(1.78 + 398.15*L22/10)+28*COS(1.21 + 6286.6*L22/10)+28*COS(1.9 + 6279.55*L22/10)+26*COS(4.59 + 10447.39*L22/10) +24.6*COS(3.787 + 8429.241*L22/10)+23.6*COS(0.269 + 796.3*L22/10)+27.8*COS(1.899 + 6279.55*L22/10)+23.9*COS(4.996 + 5856.48*L22/10)+20.3*COS(4.653 + 2146.165*L22/10))/100000000 + (103019*COS(1.10749 + 6283.07585*L22/10) +1721*COS(1.0644 + 12566.1517*L22/10) +702*COS(3.142 + 0*L22/10) +32*COS(1.02 + 18849.23*L22/10) +31*COS(2.84 + 5507.55*L22/10) +25*COS(1.32 + 5223.69*L22/10) +18*COS(1.42 + 1577.34*L22/10) +10*COS(5.91 + 10977.08*L22/10) +9*COS(1.42 + 6275.96*L22/10) +9*COS(0.27 + 5486.78*L22/10))*L22/1000000000  + (4359*COS(5.7846 + 6283.0758*L22/10)*L22^2+124*COS(5.579 + 12566.152*L22/10)*L22^2)/10000000000</f>
        <v>1.01170156238769</v>
      </c>
    </row>
    <row r="23" customFormat="false" ht="15" hidden="false" customHeight="false" outlineLevel="0" collapsed="false">
      <c r="D23" s="1"/>
      <c r="F23" s="20" t="n">
        <v>10.5</v>
      </c>
      <c r="G23" s="23" t="n">
        <f aca="false">ASIN(Y23)/$C$6</f>
        <v>58.3294458733223</v>
      </c>
      <c r="H23" s="23" t="n">
        <f aca="false">G23+1.02/(TAN($C$6*(G23+10.3/(G23+5.11)))*60)</f>
        <v>58.3398668314364</v>
      </c>
      <c r="I23" s="13" t="n">
        <f aca="false">IF(X23&gt;180,AB23-180,AB23+180)</f>
        <v>158.849462434424</v>
      </c>
      <c r="J23" s="13" t="n">
        <f aca="false">IF(ABS(4*(N23-0.0057183-V23))&lt;20,4*(N23-0.0057183-V23),4*(N23-0.0057183-V23-360))</f>
        <v>3.56515450092348</v>
      </c>
      <c r="K23" s="30" t="n">
        <f aca="false">INT(365.25*IF($B$2&gt;2,$C$2+4716,$C$2-1+4716))+INT(30.6001*IF($B$2&gt;2,$B$2+1,$B$2+12+1))+$A$2+F23/24+2-INT(IF($B$2&gt;2,$C$2,$C$2-1)/100)+INT(INT(IF($B$2&gt;2,$C$2,$C$2-1)/100)/4)-1524.5</f>
        <v>2448395.9375</v>
      </c>
      <c r="L23" s="21" t="n">
        <f aca="false">(K23-2451545)/36525</f>
        <v>-0.0862166324435318</v>
      </c>
      <c r="M23" s="16" t="n">
        <f aca="false">MOD(357.5291 + 35999.0503*L23 - 0.0001559*L23^2 - 0.00000048*L23^3,360)</f>
        <v>133.812210810141</v>
      </c>
      <c r="N23" s="16" t="n">
        <f aca="false">MOD(280.46645 + 36000.76983*L23 + 0.0003032*L23^2,360)</f>
        <v>56.6013121364795</v>
      </c>
      <c r="O23" s="17" t="n">
        <f aca="false"> MOD((1.9146 - 0.004817*L23 - 0.000014*L23^2)*SIN(M23*$C$6) + (0.019993 - 0.000101*L23)*SIN(2*M23*$C$6) + 0.00029*SIN(3*M23*$C$6),360)</f>
        <v>1.36210669702791</v>
      </c>
      <c r="P23" s="16" t="n">
        <f aca="false">MOD(N23+O23,360)</f>
        <v>57.9634188335074</v>
      </c>
      <c r="Q23" s="18" t="n">
        <f aca="false">COS(P23*$C$6)</f>
        <v>0.530460602503558</v>
      </c>
      <c r="R23" s="17" t="n">
        <f aca="false">COS((23.4393-46.815*L23/3600)*$C$6)*SIN(P23*PI()/180)</f>
        <v>0.777751691931534</v>
      </c>
      <c r="S23" s="17" t="n">
        <f aca="false">SIN((23.4393-46.815*L23/3600)*$C$6)*SIN(P23*$C$6)</f>
        <v>0.337214849745973</v>
      </c>
      <c r="T23" s="18" t="n">
        <f aca="false">SQRT(1-S23^2)</f>
        <v>0.941427716349376</v>
      </c>
      <c r="U23" s="16" t="n">
        <f aca="false">ATAN(S23/T23)/$C$6</f>
        <v>19.7072782244268</v>
      </c>
      <c r="V23" s="16" t="n">
        <f aca="false">IF(2*ATAN(R23/(Q23+T23))/$C$6&gt;0, 2*ATAN(R23/(Q23+T23))/$C$6, 2*ATAN(R23/(Q23+T23))/$C$6+360)</f>
        <v>55.7043052112486</v>
      </c>
      <c r="W23" s="16" t="n">
        <f aca="false">MOD(280.46061837+360.98564736629*(K23-2451545)+0.000387933*L23^2-L23^3/3871000010 + $E$2,360)</f>
        <v>44.0954618460964</v>
      </c>
      <c r="X23" s="19" t="n">
        <f aca="false">IF(W23-V23&gt;0,W23-V23,W23-V23+360)</f>
        <v>348.391156634848</v>
      </c>
      <c r="Y23" s="17" t="n">
        <f aca="false">SIN($D$2*$C$6)*SIN(U23*$C$6) +COS($D$2*$C$6)*COS(U23*$C$6)*COS(X23*$C$6)</f>
        <v>0.851081051354192</v>
      </c>
      <c r="Z23" s="31" t="n">
        <f aca="false">SIN($C$6*X23)</f>
        <v>-0.201229112113887</v>
      </c>
      <c r="AA23" s="31" t="n">
        <f aca="false">COS($C$6*X23)*SIN($C$6*$D$2) - TAN($C$6*U23)*COS($C$6*$D$2)</f>
        <v>0.520130983521555</v>
      </c>
      <c r="AB23" s="31" t="n">
        <f aca="false">IF(OR(AND(Z23*AA23&gt;0), AND(Z23&lt;0,AA23&gt;0)), MOD(ATAN2(AA23,Z23)/$C$6+360,360),  ATAN2(AA23,Z23)/$C$6)</f>
        <v>338.849462434423</v>
      </c>
      <c r="AC23" s="21" t="n">
        <f aca="false">(100013989+1670700*COS(3.0984635 + 6283.07585*L23/10)+13956*COS(3.05525 + 12566.1517*L23/10)+3084*COS(5.1985 + 77713.7715*L23/10) +1628*COS(1.1739 + 5753.3849*L23/10)+1576*COS(2.8469 + 7860.4194*L23/10)+925*COS(5.453 + 11506.77*L23/10)+542*COS(4.564 + 3930.21*L23/10)+472*COS(3.661 + 5884.927*L23/10)+346*COS(0.964 + 5507.553*L23/10)+329*COS(5.9 + 5223.694*L23/10)+307*COS(0.299 + 5573.143*L23/10)+243*COS(4.273 + 11790.629*L23/10)+212*COS(5.847 + 1577.344*L23/10)+186*COS(5.022 + 10977.079*L23/10)+175*COS(3.012 + 18849.228*L23/10)+110*COS(5.055 + 5486.778*L23/10)+98*COS(0.89 + 6069.78*L23/10)+86*COS(5.69 + 15720.84*L23/10)+86*COS(1.27 + 161000.69*L23/10)+65*COS(0.27 + 17260.15*L23/10)+63*COS(0.92 + 529.69*L23/10)+57*COS(2.01 + 83996.85*L23/10)+56*COS(5.24 + 71430.7*L23/10)+49*COS(3.25 + 2544.31*L23/10)+47*COS(2.58 + 775.52*L23/10)+45*COS(5.54 + 9437.76*L23/10)+43*COS(6.01 + 6275.96*L23/10)+39*COS(5.36 + 4694*L23/10)+38*COS(2.39 + 8827.39*L23/10)+37*COS(0.83 + 19651.05*L23/10)+37*COS(4.9 + 12139.55*L23/10)+36*COS(1.67 + 12036.46*L23/10)+35*COS(1.84 + 2942.46*L23/10)+33*COS(0.24 + 7084.9*L23/10)+32*COS(0.18 + 5088.63*L23/10)+32*COS(1.78 + 398.15*L23/10)+28*COS(1.21 + 6286.6*L23/10)+28*COS(1.9 + 6279.55*L23/10)+26*COS(4.59 + 10447.39*L23/10) +24.6*COS(3.787 + 8429.241*L23/10)+23.6*COS(0.269 + 796.3*L23/10)+27.8*COS(1.899 + 6279.55*L23/10)+23.9*COS(4.996 + 5856.48*L23/10)+20.3*COS(4.653 + 2146.165*L23/10))/100000000 + (103019*COS(1.10749 + 6283.07585*L23/10) +1721*COS(1.0644 + 12566.1517*L23/10) +702*COS(3.142 + 0*L23/10) +32*COS(1.02 + 18849.23*L23/10) +31*COS(2.84 + 5507.55*L23/10) +25*COS(1.32 + 5223.69*L23/10) +18*COS(1.42 + 1577.34*L23/10) +10*COS(5.91 + 10977.08*L23/10) +9*COS(1.42 + 6275.96*L23/10) +9*COS(0.27 + 5486.78*L23/10))*L23/1000000000  + (4359*COS(5.7846 + 6283.0758*L23/10)*L23^2+124*COS(5.579 + 12566.152*L23/10)*L23^2)/10000000000</f>
        <v>1.01170564988861</v>
      </c>
    </row>
    <row r="24" customFormat="false" ht="15" hidden="false" customHeight="false" outlineLevel="0" collapsed="false">
      <c r="D24" s="1"/>
      <c r="F24" s="20" t="n">
        <v>11</v>
      </c>
      <c r="G24" s="23" t="n">
        <f aca="false">ASIN(Y24)/$C$6</f>
        <v>59.5355276429155</v>
      </c>
      <c r="H24" s="23" t="n">
        <f aca="false">G24+1.02/(TAN($C$6*(G24+10.3/(G24+5.11)))*60)</f>
        <v>59.5454636875405</v>
      </c>
      <c r="I24" s="13" t="n">
        <f aca="false">IF(X24&gt;180,AB24-180,AB24+180)</f>
        <v>172.354168025068</v>
      </c>
      <c r="J24" s="13" t="n">
        <f aca="false">IF(ABS(4*(N24-0.0057183-V24))&lt;20,4*(N24-0.0057183-V24),4*(N24-0.0057183-V24-360))</f>
        <v>3.56423097772083</v>
      </c>
      <c r="K24" s="30" t="n">
        <f aca="false">INT(365.25*IF($B$2&gt;2,$C$2+4716,$C$2-1+4716))+INT(30.6001*IF($B$2&gt;2,$B$2+1,$B$2+12+1))+$A$2+F24/24+2-INT(IF($B$2&gt;2,$C$2,$C$2-1)/100)+INT(INT(IF($B$2&gt;2,$C$2,$C$2-1)/100)/4)-1524.5</f>
        <v>2448395.95833333</v>
      </c>
      <c r="L24" s="21" t="n">
        <f aca="false">(K24-2451545)/36525</f>
        <v>-0.0862160620579469</v>
      </c>
      <c r="M24" s="16" t="n">
        <f aca="false">MOD(357.5291 + 35999.0503*L24 - 0.0001559*L24^2 - 0.00000048*L24^3,360)</f>
        <v>133.832744149518</v>
      </c>
      <c r="N24" s="16" t="n">
        <f aca="false">MOD(280.46645 + 36000.76983*L24 + 0.0003032*L24^2,360)</f>
        <v>56.6218464566059</v>
      </c>
      <c r="O24" s="17" t="n">
        <f aca="false"> MOD((1.9146 - 0.004817*L24 - 0.000014*L24^2)*SIN(M24*$C$6) + (0.019993 - 0.000101*L24)*SIN(2*M24*$C$6) + 0.00029*SIN(3*M24*$C$6),360)</f>
        <v>1.36163113276333</v>
      </c>
      <c r="P24" s="16" t="n">
        <f aca="false">MOD(N24+O24,360)</f>
        <v>57.9834775893692</v>
      </c>
      <c r="Q24" s="18" t="n">
        <f aca="false">COS(P24*$C$6)</f>
        <v>0.530163794221</v>
      </c>
      <c r="R24" s="17" t="n">
        <f aca="false">COS((23.4393-46.815*L24/3600)*$C$6)*SIN(P24*PI()/180)</f>
        <v>0.777922028134142</v>
      </c>
      <c r="S24" s="17" t="n">
        <f aca="false">SIN((23.4393-46.815*L24/3600)*$C$6)*SIN(P24*$C$6)</f>
        <v>0.337288703399413</v>
      </c>
      <c r="T24" s="18" t="n">
        <f aca="false">SQRT(1-S24^2)</f>
        <v>0.941401259059676</v>
      </c>
      <c r="U24" s="16" t="n">
        <f aca="false">ATAN(S24/T24)/$C$6</f>
        <v>19.7117730592704</v>
      </c>
      <c r="V24" s="16" t="n">
        <f aca="false">IF(2*ATAN(R24/(Q24+T24))/$C$6&gt;0, 2*ATAN(R24/(Q24+T24))/$C$6, 2*ATAN(R24/(Q24+T24))/$C$6+360)</f>
        <v>55.7250704121757</v>
      </c>
      <c r="W24" s="16" t="n">
        <f aca="false">MOD(280.46061837+360.98564736629*(K24-2451545)+0.000387933*L24^2-L24^3/3871000010 + $E$2,360)</f>
        <v>51.6159962222446</v>
      </c>
      <c r="X24" s="19" t="n">
        <f aca="false">IF(W24-V24&gt;0,W24-V24,W24-V24+360)</f>
        <v>355.890925810069</v>
      </c>
      <c r="Y24" s="17" t="n">
        <f aca="false">SIN($D$2*$C$6)*SIN(U24*$C$6) +COS($D$2*$C$6)*COS(U24*$C$6)*COS(X24*$C$6)</f>
        <v>0.861943706294166</v>
      </c>
      <c r="Z24" s="31" t="n">
        <f aca="false">SIN($C$6*X24)</f>
        <v>-0.0716554126119056</v>
      </c>
      <c r="AA24" s="31" t="n">
        <f aca="false">COS($C$6*X24)*SIN($C$6*$D$2) - TAN($C$6*U24)*COS($C$6*$D$2)</f>
        <v>0.533774977826821</v>
      </c>
      <c r="AB24" s="31" t="n">
        <f aca="false">IF(OR(AND(Z24*AA24&gt;0), AND(Z24&lt;0,AA24&gt;0)), MOD(ATAN2(AA24,Z24)/$C$6+360,360),  ATAN2(AA24,Z24)/$C$6)</f>
        <v>352.354168025068</v>
      </c>
      <c r="AC24" s="21" t="n">
        <f aca="false">(100013989+1670700*COS(3.0984635 + 6283.07585*L24/10)+13956*COS(3.05525 + 12566.1517*L24/10)+3084*COS(5.1985 + 77713.7715*L24/10) +1628*COS(1.1739 + 5753.3849*L24/10)+1576*COS(2.8469 + 7860.4194*L24/10)+925*COS(5.453 + 11506.77*L24/10)+542*COS(4.564 + 3930.21*L24/10)+472*COS(3.661 + 5884.927*L24/10)+346*COS(0.964 + 5507.553*L24/10)+329*COS(5.9 + 5223.694*L24/10)+307*COS(0.299 + 5573.143*L24/10)+243*COS(4.273 + 11790.629*L24/10)+212*COS(5.847 + 1577.344*L24/10)+186*COS(5.022 + 10977.079*L24/10)+175*COS(3.012 + 18849.228*L24/10)+110*COS(5.055 + 5486.778*L24/10)+98*COS(0.89 + 6069.78*L24/10)+86*COS(5.69 + 15720.84*L24/10)+86*COS(1.27 + 161000.69*L24/10)+65*COS(0.27 + 17260.15*L24/10)+63*COS(0.92 + 529.69*L24/10)+57*COS(2.01 + 83996.85*L24/10)+56*COS(5.24 + 71430.7*L24/10)+49*COS(3.25 + 2544.31*L24/10)+47*COS(2.58 + 775.52*L24/10)+45*COS(5.54 + 9437.76*L24/10)+43*COS(6.01 + 6275.96*L24/10)+39*COS(5.36 + 4694*L24/10)+38*COS(2.39 + 8827.39*L24/10)+37*COS(0.83 + 19651.05*L24/10)+37*COS(4.9 + 12139.55*L24/10)+36*COS(1.67 + 12036.46*L24/10)+35*COS(1.84 + 2942.46*L24/10)+33*COS(0.24 + 7084.9*L24/10)+32*COS(0.18 + 5088.63*L24/10)+32*COS(1.78 + 398.15*L24/10)+28*COS(1.21 + 6286.6*L24/10)+28*COS(1.9 + 6279.55*L24/10)+26*COS(4.59 + 10447.39*L24/10) +24.6*COS(3.787 + 8429.241*L24/10)+23.6*COS(0.269 + 796.3*L24/10)+27.8*COS(1.899 + 6279.55*L24/10)+23.9*COS(4.996 + 5856.48*L24/10)+20.3*COS(4.653 + 2146.165*L24/10))/100000000 + (103019*COS(1.10749 + 6283.07585*L24/10) +1721*COS(1.0644 + 12566.1517*L24/10) +702*COS(3.142 + 0*L24/10) +32*COS(1.02 + 18849.23*L24/10) +31*COS(2.84 + 5507.55*L24/10) +25*COS(1.32 + 5223.69*L24/10) +18*COS(1.42 + 1577.34*L24/10) +10*COS(5.91 + 10977.08*L24/10) +9*COS(1.42 + 6275.96*L24/10) +9*COS(0.27 + 5486.78*L24/10))*L24/1000000000  + (4359*COS(5.7846 + 6283.0758*L24/10)*L24^2+124*COS(5.579 + 12566.152*L24/10)*L24^2)/10000000000</f>
        <v>1.01170973567828</v>
      </c>
    </row>
    <row r="25" customFormat="false" ht="15" hidden="false" customHeight="false" outlineLevel="0" collapsed="false">
      <c r="D25" s="1"/>
      <c r="F25" s="20" t="n">
        <v>11.5</v>
      </c>
      <c r="G25" s="23" t="n">
        <f aca="false">ASIN(Y25)/$C$6</f>
        <v>59.5961288806221</v>
      </c>
      <c r="H25" s="23" t="n">
        <f aca="false">G25+1.02/(TAN($C$6*(G25+10.3/(G25+5.11)))*60)</f>
        <v>59.6060408763346</v>
      </c>
      <c r="I25" s="13" t="n">
        <f aca="false">IF(X25&gt;180,AB25-180,AB25+180)</f>
        <v>186.3160865954</v>
      </c>
      <c r="J25" s="13" t="n">
        <f aca="false">IF(ABS(4*(N25-0.0057183-V25))&lt;20,4*(N25-0.0057183-V25),4*(N25-0.0057183-V25-360))</f>
        <v>3.56330347955699</v>
      </c>
      <c r="K25" s="30" t="n">
        <f aca="false">INT(365.25*IF($B$2&gt;2,$C$2+4716,$C$2-1+4716))+INT(30.6001*IF($B$2&gt;2,$B$2+1,$B$2+12+1))+$A$2+F25/24+2-INT(IF($B$2&gt;2,$C$2,$C$2-1)/100)+INT(INT(IF($B$2&gt;2,$C$2,$C$2-1)/100)/4)-1524.5</f>
        <v>2448395.97916667</v>
      </c>
      <c r="L25" s="21" t="n">
        <f aca="false">(K25-2451545)/36525</f>
        <v>-0.0862154916723748</v>
      </c>
      <c r="M25" s="16" t="n">
        <f aca="false">MOD(357.5291 + 35999.0503*L25 - 0.0001559*L25^2 - 0.00000048*L25^3,360)</f>
        <v>133.853277488435</v>
      </c>
      <c r="N25" s="16" t="n">
        <f aca="false">MOD(280.46645 + 36000.76983*L25 + 0.0003032*L25^2,360)</f>
        <v>56.6423807762735</v>
      </c>
      <c r="O25" s="17" t="n">
        <f aca="false"> MOD((1.9146 - 0.004817*L25 - 0.000014*L25^2)*SIN(M25*$C$6) + (0.019993 - 0.000101*L25)*SIN(2*M25*$C$6) + 0.00029*SIN(3*M25*$C$6),360)</f>
        <v>1.36115540113626</v>
      </c>
      <c r="P25" s="16" t="n">
        <f aca="false">MOD(N25+O25,360)</f>
        <v>58.0035361774098</v>
      </c>
      <c r="Q25" s="18" t="n">
        <f aca="false">COS(P25*$C$6)</f>
        <v>0.529866923443536</v>
      </c>
      <c r="R25" s="17" t="n">
        <f aca="false">COS((23.4393-46.815*L25/3600)*$C$6)*SIN(P25*PI()/180)</f>
        <v>0.778092267567661</v>
      </c>
      <c r="S25" s="17" t="n">
        <f aca="false">SIN((23.4393-46.815*L25/3600)*$C$6)*SIN(P25*$C$6)</f>
        <v>0.337362515095998</v>
      </c>
      <c r="T25" s="18" t="n">
        <f aca="false">SQRT(1-S25^2)</f>
        <v>0.941374810268525</v>
      </c>
      <c r="U25" s="16" t="n">
        <f aca="false">ATAN(S25/T25)/$C$6</f>
        <v>19.7162654667954</v>
      </c>
      <c r="V25" s="16" t="n">
        <f aca="false">IF(2*ATAN(R25/(Q25+T25))/$C$6&gt;0, 2*ATAN(R25/(Q25+T25))/$C$6, 2*ATAN(R25/(Q25+T25))/$C$6+360)</f>
        <v>55.7458366063843</v>
      </c>
      <c r="W25" s="16" t="n">
        <f aca="false">MOD(280.46061837+360.98564736629*(K25-2451545)+0.000387933*L25^2-L25^3/3871000010 + $E$2,360)</f>
        <v>59.136530430289</v>
      </c>
      <c r="X25" s="19" t="n">
        <f aca="false">IF(W25-V25&gt;0,W25-V25,W25-V25+360)</f>
        <v>3.39069382390472</v>
      </c>
      <c r="Y25" s="17" t="n">
        <f aca="false">SIN($D$2*$C$6)*SIN(U25*$C$6) +COS($D$2*$C$6)*COS(U25*$C$6)*COS(X25*$C$6)</f>
        <v>0.862479477685308</v>
      </c>
      <c r="Z25" s="31" t="n">
        <f aca="false">SIN($C$6*X25)</f>
        <v>0.0591442352739072</v>
      </c>
      <c r="AA25" s="31" t="n">
        <f aca="false">COS($C$6*X25)*SIN($C$6*$D$2) - TAN($C$6*U25)*COS($C$6*$D$2)</f>
        <v>0.53434626416481</v>
      </c>
      <c r="AB25" s="31" t="n">
        <f aca="false">IF(OR(AND(Z25*AA25&gt;0), AND(Z25&lt;0,AA25&gt;0)), MOD(ATAN2(AA25,Z25)/$C$6+360,360),  ATAN2(AA25,Z25)/$C$6)</f>
        <v>6.31608659540046</v>
      </c>
      <c r="AC25" s="21" t="n">
        <f aca="false">(100013989+1670700*COS(3.0984635 + 6283.07585*L25/10)+13956*COS(3.05525 + 12566.1517*L25/10)+3084*COS(5.1985 + 77713.7715*L25/10) +1628*COS(1.1739 + 5753.3849*L25/10)+1576*COS(2.8469 + 7860.4194*L25/10)+925*COS(5.453 + 11506.77*L25/10)+542*COS(4.564 + 3930.21*L25/10)+472*COS(3.661 + 5884.927*L25/10)+346*COS(0.964 + 5507.553*L25/10)+329*COS(5.9 + 5223.694*L25/10)+307*COS(0.299 + 5573.143*L25/10)+243*COS(4.273 + 11790.629*L25/10)+212*COS(5.847 + 1577.344*L25/10)+186*COS(5.022 + 10977.079*L25/10)+175*COS(3.012 + 18849.228*L25/10)+110*COS(5.055 + 5486.778*L25/10)+98*COS(0.89 + 6069.78*L25/10)+86*COS(5.69 + 15720.84*L25/10)+86*COS(1.27 + 161000.69*L25/10)+65*COS(0.27 + 17260.15*L25/10)+63*COS(0.92 + 529.69*L25/10)+57*COS(2.01 + 83996.85*L25/10)+56*COS(5.24 + 71430.7*L25/10)+49*COS(3.25 + 2544.31*L25/10)+47*COS(2.58 + 775.52*L25/10)+45*COS(5.54 + 9437.76*L25/10)+43*COS(6.01 + 6275.96*L25/10)+39*COS(5.36 + 4694*L25/10)+38*COS(2.39 + 8827.39*L25/10)+37*COS(0.83 + 19651.05*L25/10)+37*COS(4.9 + 12139.55*L25/10)+36*COS(1.67 + 12036.46*L25/10)+35*COS(1.84 + 2942.46*L25/10)+33*COS(0.24 + 7084.9*L25/10)+32*COS(0.18 + 5088.63*L25/10)+32*COS(1.78 + 398.15*L25/10)+28*COS(1.21 + 6286.6*L25/10)+28*COS(1.9 + 6279.55*L25/10)+26*COS(4.59 + 10447.39*L25/10) +24.6*COS(3.787 + 8429.241*L25/10)+23.6*COS(0.269 + 796.3*L25/10)+27.8*COS(1.899 + 6279.55*L25/10)+23.9*COS(4.996 + 5856.48*L25/10)+20.3*COS(4.653 + 2146.165*L25/10))/100000000 + (103019*COS(1.10749 + 6283.07585*L25/10) +1721*COS(1.0644 + 12566.1517*L25/10) +702*COS(3.142 + 0*L25/10) +32*COS(1.02 + 18849.23*L25/10) +31*COS(2.84 + 5507.55*L25/10) +25*COS(1.32 + 5223.69*L25/10) +18*COS(1.42 + 1577.34*L25/10) +10*COS(5.91 + 10977.08*L25/10) +9*COS(1.42 + 6275.96*L25/10) +9*COS(0.27 + 5486.78*L25/10))*L25/1000000000  + (4359*COS(5.7846 + 6283.0758*L25/10)*L25^2+124*COS(5.579 + 12566.152*L25/10)*L25^2)/10000000000</f>
        <v>1.01171381975924</v>
      </c>
    </row>
    <row r="26" customFormat="false" ht="15" hidden="false" customHeight="false" outlineLevel="0" collapsed="false">
      <c r="D26" s="1"/>
      <c r="F26" s="20" t="n">
        <v>12</v>
      </c>
      <c r="G26" s="23" t="n">
        <f aca="false">ASIN(Y26)/$C$6</f>
        <v>58.5044508959623</v>
      </c>
      <c r="H26" s="23" t="n">
        <f aca="false">G26+1.02/(TAN($C$6*(G26+10.3/(G26+5.11)))*60)</f>
        <v>58.5148007323077</v>
      </c>
      <c r="I26" s="13" t="n">
        <f aca="false">IF(X26&gt;180,AB26-180,AB26+180)</f>
        <v>199.902975322862</v>
      </c>
      <c r="J26" s="13" t="n">
        <f aca="false">IF(ABS(4*(N26-0.0057183-V26))&lt;20,4*(N26-0.0057183-V26),4*(N26-0.0057183-V26-360))</f>
        <v>3.56237200732292</v>
      </c>
      <c r="K26" s="30" t="n">
        <f aca="false">INT(365.25*IF($B$2&gt;2,$C$2+4716,$C$2-1+4716))+INT(30.6001*IF($B$2&gt;2,$B$2+1,$B$2+12+1))+$A$2+F26/24+2-INT(IF($B$2&gt;2,$C$2,$C$2-1)/100)+INT(INT(IF($B$2&gt;2,$C$2,$C$2-1)/100)/4)-1524.5</f>
        <v>2448396</v>
      </c>
      <c r="L26" s="21" t="n">
        <f aca="false">(K26-2451545)/36525</f>
        <v>-0.0862149212867899</v>
      </c>
      <c r="M26" s="16" t="n">
        <f aca="false">MOD(357.5291 + 35999.0503*L26 - 0.0001559*L26^2 - 0.00000048*L26^3,360)</f>
        <v>133.873810827811</v>
      </c>
      <c r="N26" s="16" t="n">
        <f aca="false">MOD(280.46645 + 36000.76983*L26 + 0.0003032*L26^2,360)</f>
        <v>56.6629150964</v>
      </c>
      <c r="O26" s="17" t="n">
        <f aca="false"> MOD((1.9146 - 0.004817*L26 - 0.000014*L26^2)*SIN(M26*$C$6) + (0.019993 - 0.000101*L26)*SIN(2*M26*$C$6) + 0.00029*SIN(3*M26*$C$6),360)</f>
        <v>1.36067950218649</v>
      </c>
      <c r="P26" s="16" t="n">
        <f aca="false">MOD(N26+O26,360)</f>
        <v>58.0235945985864</v>
      </c>
      <c r="Q26" s="18" t="n">
        <f aca="false">COS(P26*$C$6)</f>
        <v>0.529569990195007</v>
      </c>
      <c r="R26" s="17" t="n">
        <f aca="false">COS((23.4393-46.815*L26/3600)*$C$6)*SIN(P26*PI()/180)</f>
        <v>0.778262410221738</v>
      </c>
      <c r="S26" s="17" t="n">
        <f aca="false">SIN((23.4393-46.815*L26/3600)*$C$6)*SIN(P26*$C$6)</f>
        <v>0.337436284831241</v>
      </c>
      <c r="T26" s="18" t="n">
        <f aca="false">SQRT(1-S26^2)</f>
        <v>0.941348369988119</v>
      </c>
      <c r="U26" s="16" t="n">
        <f aca="false">ATAN(S26/T26)/$C$6</f>
        <v>19.7207554465517</v>
      </c>
      <c r="V26" s="16" t="n">
        <f aca="false">IF(2*ATAN(R26/(Q26+T26))/$C$6&gt;0, 2*ATAN(R26/(Q26+T26))/$C$6, 2*ATAN(R26/(Q26+T26))/$C$6+360)</f>
        <v>55.7666037945692</v>
      </c>
      <c r="W26" s="16" t="n">
        <f aca="false">MOD(280.46061837+360.98564736629*(K26-2451545)+0.000387933*L26^2-L26^3/3871000010 + $E$2,360)</f>
        <v>66.6570648064371</v>
      </c>
      <c r="X26" s="19" t="n">
        <f aca="false">IF(W26-V26&gt;0,W26-V26,W26-V26+360)</f>
        <v>10.8904610118679</v>
      </c>
      <c r="Y26" s="17" t="n">
        <f aca="false">SIN($D$2*$C$6)*SIN(U26*$C$6) +COS($D$2*$C$6)*COS(U26*$C$6)*COS(X26*$C$6)</f>
        <v>0.852680750927237</v>
      </c>
      <c r="Z26" s="31" t="n">
        <f aca="false">SIN($C$6*X26)</f>
        <v>0.188931957255067</v>
      </c>
      <c r="AA26" s="31" t="n">
        <f aca="false">COS($C$6*X26)*SIN($C$6*$D$2) - TAN($C$6*U26)*COS($C$6*$D$2)</f>
        <v>0.521834100483378</v>
      </c>
      <c r="AB26" s="31" t="n">
        <f aca="false">IF(OR(AND(Z26*AA26&gt;0), AND(Z26&lt;0,AA26&gt;0)), MOD(ATAN2(AA26,Z26)/$C$6+360,360),  ATAN2(AA26,Z26)/$C$6)</f>
        <v>19.9029753228618</v>
      </c>
      <c r="AC26" s="21" t="n">
        <f aca="false">(100013989+1670700*COS(3.0984635 + 6283.07585*L26/10)+13956*COS(3.05525 + 12566.1517*L26/10)+3084*COS(5.1985 + 77713.7715*L26/10) +1628*COS(1.1739 + 5753.3849*L26/10)+1576*COS(2.8469 + 7860.4194*L26/10)+925*COS(5.453 + 11506.77*L26/10)+542*COS(4.564 + 3930.21*L26/10)+472*COS(3.661 + 5884.927*L26/10)+346*COS(0.964 + 5507.553*L26/10)+329*COS(5.9 + 5223.694*L26/10)+307*COS(0.299 + 5573.143*L26/10)+243*COS(4.273 + 11790.629*L26/10)+212*COS(5.847 + 1577.344*L26/10)+186*COS(5.022 + 10977.079*L26/10)+175*COS(3.012 + 18849.228*L26/10)+110*COS(5.055 + 5486.778*L26/10)+98*COS(0.89 + 6069.78*L26/10)+86*COS(5.69 + 15720.84*L26/10)+86*COS(1.27 + 161000.69*L26/10)+65*COS(0.27 + 17260.15*L26/10)+63*COS(0.92 + 529.69*L26/10)+57*COS(2.01 + 83996.85*L26/10)+56*COS(5.24 + 71430.7*L26/10)+49*COS(3.25 + 2544.31*L26/10)+47*COS(2.58 + 775.52*L26/10)+45*COS(5.54 + 9437.76*L26/10)+43*COS(6.01 + 6275.96*L26/10)+39*COS(5.36 + 4694*L26/10)+38*COS(2.39 + 8827.39*L26/10)+37*COS(0.83 + 19651.05*L26/10)+37*COS(4.9 + 12139.55*L26/10)+36*COS(1.67 + 12036.46*L26/10)+35*COS(1.84 + 2942.46*L26/10)+33*COS(0.24 + 7084.9*L26/10)+32*COS(0.18 + 5088.63*L26/10)+32*COS(1.78 + 398.15*L26/10)+28*COS(1.21 + 6286.6*L26/10)+28*COS(1.9 + 6279.55*L26/10)+26*COS(4.59 + 10447.39*L26/10) +24.6*COS(3.787 + 8429.241*L26/10)+23.6*COS(0.269 + 796.3*L26/10)+27.8*COS(1.899 + 6279.55*L26/10)+23.9*COS(4.996 + 5856.48*L26/10)+20.3*COS(4.653 + 2146.165*L26/10))/100000000 + (103019*COS(1.10749 + 6283.07585*L26/10) +1721*COS(1.0644 + 12566.1517*L26/10) +702*COS(3.142 + 0*L26/10) +32*COS(1.02 + 18849.23*L26/10) +31*COS(2.84 + 5507.55*L26/10) +25*COS(1.32 + 5223.69*L26/10) +18*COS(1.42 + 1577.34*L26/10) +10*COS(5.91 + 10977.08*L26/10) +9*COS(1.42 + 6275.96*L26/10) +9*COS(0.27 + 5486.78*L26/10))*L26/1000000000  + (4359*COS(5.7846 + 6283.0758*L26/10)*L26^2+124*COS(5.579 + 12566.152*L26/10)*L26^2)/10000000000</f>
        <v>1.01171790213434</v>
      </c>
    </row>
    <row r="27" customFormat="false" ht="15" hidden="false" customHeight="false" outlineLevel="0" collapsed="false">
      <c r="D27" s="1"/>
      <c r="F27" s="20" t="n">
        <v>12.5</v>
      </c>
      <c r="G27" s="23" t="n">
        <f aca="false">ASIN(Y27)/$C$6</f>
        <v>56.3788307845145</v>
      </c>
      <c r="H27" s="23" t="n">
        <f aca="false">G27+1.02/(TAN($C$6*(G27+10.3/(G27+5.11)))*60)</f>
        <v>56.3900630764101</v>
      </c>
      <c r="I27" s="13" t="n">
        <f aca="false">IF(X27&gt;180,AB27-180,AB27+180)</f>
        <v>212.435317052645</v>
      </c>
      <c r="J27" s="13" t="n">
        <f aca="false">IF(ABS(4*(N27-0.0057183-V27))&lt;20,4*(N27-0.0057183-V27),4*(N27-0.0057183-V27-360))</f>
        <v>3.56143656197435</v>
      </c>
      <c r="K27" s="30" t="n">
        <f aca="false">INT(365.25*IF($B$2&gt;2,$C$2+4716,$C$2-1+4716))+INT(30.6001*IF($B$2&gt;2,$B$2+1,$B$2+12+1))+$A$2+F27/24+2-INT(IF($B$2&gt;2,$C$2,$C$2-1)/100)+INT(INT(IF($B$2&gt;2,$C$2,$C$2-1)/100)/4)-1524.5</f>
        <v>2448396.02083333</v>
      </c>
      <c r="L27" s="21" t="n">
        <f aca="false">(K27-2451545)/36525</f>
        <v>-0.086214350901205</v>
      </c>
      <c r="M27" s="16" t="n">
        <f aca="false">MOD(357.5291 + 35999.0503*L27 - 0.0001559*L27^2 - 0.00000048*L27^3,360)</f>
        <v>133.894344167188</v>
      </c>
      <c r="N27" s="16" t="n">
        <f aca="false">MOD(280.46645 + 36000.76983*L27 + 0.0003032*L27^2,360)</f>
        <v>56.6834494165269</v>
      </c>
      <c r="O27" s="17" t="n">
        <f aca="false"> MOD((1.9146 - 0.004817*L27 - 0.000014*L27^2)*SIN(M27*$C$6) + (0.019993 - 0.000101*L27)*SIN(2*M27*$C$6) + 0.00029*SIN(3*M27*$C$6),360)</f>
        <v>1.36020343598574</v>
      </c>
      <c r="P27" s="16" t="n">
        <f aca="false">MOD(N27+O27,360)</f>
        <v>58.0436528525126</v>
      </c>
      <c r="Q27" s="18" t="n">
        <f aca="false">COS(P27*$C$6)</f>
        <v>0.529272994519151</v>
      </c>
      <c r="R27" s="17" t="n">
        <f aca="false">COS((23.4393-46.815*L27/3600)*$C$6)*SIN(P27*PI()/180)</f>
        <v>0.778432456074625</v>
      </c>
      <c r="S27" s="17" t="n">
        <f aca="false">SIN((23.4393-46.815*L27/3600)*$C$6)*SIN(P27*$C$6)</f>
        <v>0.337510012595711</v>
      </c>
      <c r="T27" s="18" t="n">
        <f aca="false">SQRT(1-S27^2)</f>
        <v>0.941321938232422</v>
      </c>
      <c r="U27" s="16" t="n">
        <f aca="false">ATAN(S27/T27)/$C$6</f>
        <v>19.7252429977884</v>
      </c>
      <c r="V27" s="16" t="n">
        <f aca="false">IF(2*ATAN(R27/(Q27+T27))/$C$6&gt;0, 2*ATAN(R27/(Q27+T27))/$C$6, 2*ATAN(R27/(Q27+T27))/$C$6+360)</f>
        <v>55.7873719760333</v>
      </c>
      <c r="W27" s="16" t="n">
        <f aca="false">MOD(280.46061837+360.98564736629*(K27-2451545)+0.000387933*L27^2-L27^3/3871000010 + $E$2,360)</f>
        <v>74.1775991823524</v>
      </c>
      <c r="X27" s="19" t="n">
        <f aca="false">IF(W27-V27&gt;0,W27-V27,W27-V27+360)</f>
        <v>18.3902272063192</v>
      </c>
      <c r="Y27" s="17" t="n">
        <f aca="false">SIN($D$2*$C$6)*SIN(U27*$C$6) +COS($D$2*$C$6)*COS(U27*$C$6)*COS(X27*$C$6)</f>
        <v>0.832716720898869</v>
      </c>
      <c r="Z27" s="31" t="n">
        <f aca="false">SIN($C$6*X27)</f>
        <v>0.315487185016555</v>
      </c>
      <c r="AA27" s="31" t="n">
        <f aca="false">COS($C$6*X27)*SIN($C$6*$D$2) - TAN($C$6*U27)*COS($C$6*$D$2)</f>
        <v>0.49645159255813</v>
      </c>
      <c r="AB27" s="31" t="n">
        <f aca="false">IF(OR(AND(Z27*AA27&gt;0), AND(Z27&lt;0,AA27&gt;0)), MOD(ATAN2(AA27,Z27)/$C$6+360,360),  ATAN2(AA27,Z27)/$C$6)</f>
        <v>32.4353170526452</v>
      </c>
      <c r="AC27" s="21" t="n">
        <f aca="false">(100013989+1670700*COS(3.0984635 + 6283.07585*L27/10)+13956*COS(3.05525 + 12566.1517*L27/10)+3084*COS(5.1985 + 77713.7715*L27/10) +1628*COS(1.1739 + 5753.3849*L27/10)+1576*COS(2.8469 + 7860.4194*L27/10)+925*COS(5.453 + 11506.77*L27/10)+542*COS(4.564 + 3930.21*L27/10)+472*COS(3.661 + 5884.927*L27/10)+346*COS(0.964 + 5507.553*L27/10)+329*COS(5.9 + 5223.694*L27/10)+307*COS(0.299 + 5573.143*L27/10)+243*COS(4.273 + 11790.629*L27/10)+212*COS(5.847 + 1577.344*L27/10)+186*COS(5.022 + 10977.079*L27/10)+175*COS(3.012 + 18849.228*L27/10)+110*COS(5.055 + 5486.778*L27/10)+98*COS(0.89 + 6069.78*L27/10)+86*COS(5.69 + 15720.84*L27/10)+86*COS(1.27 + 161000.69*L27/10)+65*COS(0.27 + 17260.15*L27/10)+63*COS(0.92 + 529.69*L27/10)+57*COS(2.01 + 83996.85*L27/10)+56*COS(5.24 + 71430.7*L27/10)+49*COS(3.25 + 2544.31*L27/10)+47*COS(2.58 + 775.52*L27/10)+45*COS(5.54 + 9437.76*L27/10)+43*COS(6.01 + 6275.96*L27/10)+39*COS(5.36 + 4694*L27/10)+38*COS(2.39 + 8827.39*L27/10)+37*COS(0.83 + 19651.05*L27/10)+37*COS(4.9 + 12139.55*L27/10)+36*COS(1.67 + 12036.46*L27/10)+35*COS(1.84 + 2942.46*L27/10)+33*COS(0.24 + 7084.9*L27/10)+32*COS(0.18 + 5088.63*L27/10)+32*COS(1.78 + 398.15*L27/10)+28*COS(1.21 + 6286.6*L27/10)+28*COS(1.9 + 6279.55*L27/10)+26*COS(4.59 + 10447.39*L27/10) +24.6*COS(3.787 + 8429.241*L27/10)+23.6*COS(0.269 + 796.3*L27/10)+27.8*COS(1.899 + 6279.55*L27/10)+23.9*COS(4.996 + 5856.48*L27/10)+20.3*COS(4.653 + 2146.165*L27/10))/100000000 + (103019*COS(1.10749 + 6283.07585*L27/10) +1721*COS(1.0644 + 12566.1517*L27/10) +702*COS(3.142 + 0*L27/10) +32*COS(1.02 + 18849.23*L27/10) +31*COS(2.84 + 5507.55*L27/10) +25*COS(1.32 + 5223.69*L27/10) +18*COS(1.42 + 1577.34*L27/10) +10*COS(5.91 + 10977.08*L27/10) +9*COS(1.42 + 6275.96*L27/10) +9*COS(0.27 + 5486.78*L27/10))*L27/1000000000  + (4359*COS(5.7846 + 6283.0758*L27/10)*L27^2+124*COS(5.579 + 12566.152*L27/10)*L27^2)/10000000000</f>
        <v>1.01172198280611</v>
      </c>
    </row>
    <row r="28" customFormat="false" ht="15" hidden="false" customHeight="false" outlineLevel="0" collapsed="false">
      <c r="D28" s="1"/>
      <c r="F28" s="20" t="n">
        <v>13</v>
      </c>
      <c r="G28" s="23" t="n">
        <f aca="false">ASIN(Y28)/$C$6</f>
        <v>53.4108616662628</v>
      </c>
      <c r="H28" s="23" t="n">
        <f aca="false">G28+1.02/(TAN($C$6*(G28+10.3/(G28+5.11)))*60)</f>
        <v>53.4234011627856</v>
      </c>
      <c r="I28" s="13" t="n">
        <f aca="false">IF(X28&gt;180,AB28-180,AB28+180)</f>
        <v>223.593137138353</v>
      </c>
      <c r="J28" s="13" t="n">
        <f aca="false">IF(ABS(4*(N28-0.0057183-V28))&lt;20,4*(N28-0.0057183-V28),4*(N28-0.0057183-V28-360))</f>
        <v>3.56049714446956</v>
      </c>
      <c r="K28" s="30" t="n">
        <f aca="false">INT(365.25*IF($B$2&gt;2,$C$2+4716,$C$2-1+4716))+INT(30.6001*IF($B$2&gt;2,$B$2+1,$B$2+12+1))+$A$2+F28/24+2-INT(IF($B$2&gt;2,$C$2,$C$2-1)/100)+INT(INT(IF($B$2&gt;2,$C$2,$C$2-1)/100)/4)-1524.5</f>
        <v>2448396.04166667</v>
      </c>
      <c r="L28" s="21" t="n">
        <f aca="false">(K28-2451545)/36525</f>
        <v>-0.0862137805156328</v>
      </c>
      <c r="M28" s="16" t="n">
        <f aca="false">MOD(357.5291 + 35999.0503*L28 - 0.0001559*L28^2 - 0.00000048*L28^3,360)</f>
        <v>133.914877506106</v>
      </c>
      <c r="N28" s="16" t="n">
        <f aca="false">MOD(280.46645 + 36000.76983*L28 + 0.0003032*L28^2,360)</f>
        <v>56.703983736194</v>
      </c>
      <c r="O28" s="17" t="n">
        <f aca="false"> MOD((1.9146 - 0.004817*L28 - 0.000014*L28^2)*SIN(M28*$C$6) + (0.019993 - 0.000101*L28)*SIN(2*M28*$C$6) + 0.00029*SIN(3*M28*$C$6),360)</f>
        <v>1.35972720260582</v>
      </c>
      <c r="P28" s="16" t="n">
        <f aca="false">MOD(N28+O28,360)</f>
        <v>58.0637109387998</v>
      </c>
      <c r="Q28" s="18" t="n">
        <f aca="false">COS(P28*$C$6)</f>
        <v>0.528975936459742</v>
      </c>
      <c r="R28" s="17" t="n">
        <f aca="false">COS((23.4393-46.815*L28/3600)*$C$6)*SIN(P28*PI()/180)</f>
        <v>0.778602405104578</v>
      </c>
      <c r="S28" s="17" t="n">
        <f aca="false">SIN((23.4393-46.815*L28/3600)*$C$6)*SIN(P28*$C$6)</f>
        <v>0.337583698379981</v>
      </c>
      <c r="T28" s="18" t="n">
        <f aca="false">SQRT(1-S28^2)</f>
        <v>0.941295515015393</v>
      </c>
      <c r="U28" s="16" t="n">
        <f aca="false">ATAN(S28/T28)/$C$6</f>
        <v>19.7297281197544</v>
      </c>
      <c r="V28" s="16" t="n">
        <f aca="false">IF(2*ATAN(R28/(Q28+T28))/$C$6&gt;0, 2*ATAN(R28/(Q28+T28))/$C$6, 2*ATAN(R28/(Q28+T28))/$C$6+360)</f>
        <v>55.8081411500766</v>
      </c>
      <c r="W28" s="16" t="n">
        <f aca="false">MOD(280.46061837+360.98564736629*(K28-2451545)+0.000387933*L28^2-L28^3/3871000010 + $E$2,360)</f>
        <v>81.6981333903968</v>
      </c>
      <c r="X28" s="19" t="n">
        <f aca="false">IF(W28-V28&gt;0,W28-V28,W28-V28+360)</f>
        <v>25.8899922403202</v>
      </c>
      <c r="Y28" s="17" t="n">
        <f aca="false">SIN($D$2*$C$6)*SIN(U28*$C$6) +COS($D$2*$C$6)*COS(U28*$C$6)*COS(X28*$C$6)</f>
        <v>0.802930488210548</v>
      </c>
      <c r="Z28" s="31" t="n">
        <f aca="false">SIN($C$6*X28)</f>
        <v>0.43664465742588</v>
      </c>
      <c r="AA28" s="31" t="n">
        <f aca="false">COS($C$6*X28)*SIN($C$6*$D$2) - TAN($C$6*U28)*COS($C$6*$D$2)</f>
        <v>0.458632049034982</v>
      </c>
      <c r="AB28" s="31" t="n">
        <f aca="false">IF(OR(AND(Z28*AA28&gt;0), AND(Z28&lt;0,AA28&gt;0)), MOD(ATAN2(AA28,Z28)/$C$6+360,360),  ATAN2(AA28,Z28)/$C$6)</f>
        <v>43.5931371383529</v>
      </c>
      <c r="AC28" s="21" t="n">
        <f aca="false">(100013989+1670700*COS(3.0984635 + 6283.07585*L28/10)+13956*COS(3.05525 + 12566.1517*L28/10)+3084*COS(5.1985 + 77713.7715*L28/10) +1628*COS(1.1739 + 5753.3849*L28/10)+1576*COS(2.8469 + 7860.4194*L28/10)+925*COS(5.453 + 11506.77*L28/10)+542*COS(4.564 + 3930.21*L28/10)+472*COS(3.661 + 5884.927*L28/10)+346*COS(0.964 + 5507.553*L28/10)+329*COS(5.9 + 5223.694*L28/10)+307*COS(0.299 + 5573.143*L28/10)+243*COS(4.273 + 11790.629*L28/10)+212*COS(5.847 + 1577.344*L28/10)+186*COS(5.022 + 10977.079*L28/10)+175*COS(3.012 + 18849.228*L28/10)+110*COS(5.055 + 5486.778*L28/10)+98*COS(0.89 + 6069.78*L28/10)+86*COS(5.69 + 15720.84*L28/10)+86*COS(1.27 + 161000.69*L28/10)+65*COS(0.27 + 17260.15*L28/10)+63*COS(0.92 + 529.69*L28/10)+57*COS(2.01 + 83996.85*L28/10)+56*COS(5.24 + 71430.7*L28/10)+49*COS(3.25 + 2544.31*L28/10)+47*COS(2.58 + 775.52*L28/10)+45*COS(5.54 + 9437.76*L28/10)+43*COS(6.01 + 6275.96*L28/10)+39*COS(5.36 + 4694*L28/10)+38*COS(2.39 + 8827.39*L28/10)+37*COS(0.83 + 19651.05*L28/10)+37*COS(4.9 + 12139.55*L28/10)+36*COS(1.67 + 12036.46*L28/10)+35*COS(1.84 + 2942.46*L28/10)+33*COS(0.24 + 7084.9*L28/10)+32*COS(0.18 + 5088.63*L28/10)+32*COS(1.78 + 398.15*L28/10)+28*COS(1.21 + 6286.6*L28/10)+28*COS(1.9 + 6279.55*L28/10)+26*COS(4.59 + 10447.39*L28/10) +24.6*COS(3.787 + 8429.241*L28/10)+23.6*COS(0.269 + 796.3*L28/10)+27.8*COS(1.899 + 6279.55*L28/10)+23.9*COS(4.996 + 5856.48*L28/10)+20.3*COS(4.653 + 2146.165*L28/10))/100000000 + (103019*COS(1.10749 + 6283.07585*L28/10) +1721*COS(1.0644 + 12566.1517*L28/10) +702*COS(3.142 + 0*L28/10) +32*COS(1.02 + 18849.23*L28/10) +31*COS(2.84 + 5507.55*L28/10) +25*COS(1.32 + 5223.69*L28/10) +18*COS(1.42 + 1577.34*L28/10) +10*COS(5.91 + 10977.08*L28/10) +9*COS(1.42 + 6275.96*L28/10) +9*COS(0.27 + 5486.78*L28/10))*L28/1000000000  + (4359*COS(5.7846 + 6283.0758*L28/10)*L28^2+124*COS(5.579 + 12566.152*L28/10)*L28^2)/10000000000</f>
        <v>1.01172606177712</v>
      </c>
    </row>
    <row r="29" customFormat="false" ht="15" hidden="false" customHeight="false" outlineLevel="0" collapsed="false">
      <c r="D29" s="1"/>
      <c r="F29" s="20" t="n">
        <v>13.5</v>
      </c>
      <c r="G29" s="23" t="n">
        <f aca="false">ASIN(Y29)/$C$6</f>
        <v>49.8032976228352</v>
      </c>
      <c r="H29" s="23" t="n">
        <f aca="false">G29+1.02/(TAN($C$6*(G29+10.3/(G29+5.11)))*60)</f>
        <v>49.8175669354362</v>
      </c>
      <c r="I29" s="13" t="n">
        <f aca="false">IF(X29&gt;180,AB29-180,AB29+180)</f>
        <v>233.379248312679</v>
      </c>
      <c r="J29" s="13" t="n">
        <f aca="false">IF(ABS(4*(N29-0.0057183-V29))&lt;20,4*(N29-0.0057183-V29),4*(N29-0.0057183-V29-360))</f>
        <v>3.55955375570673</v>
      </c>
      <c r="K29" s="30" t="n">
        <f aca="false">INT(365.25*IF($B$2&gt;2,$C$2+4716,$C$2-1+4716))+INT(30.6001*IF($B$2&gt;2,$B$2+1,$B$2+12+1))+$A$2+F29/24+2-INT(IF($B$2&gt;2,$C$2,$C$2-1)/100)+INT(INT(IF($B$2&gt;2,$C$2,$C$2-1)/100)/4)-1524.5</f>
        <v>2448396.0625</v>
      </c>
      <c r="L29" s="21" t="n">
        <f aca="false">(K29-2451545)/36525</f>
        <v>-0.0862132101300479</v>
      </c>
      <c r="M29" s="16" t="n">
        <f aca="false">MOD(357.5291 + 35999.0503*L29 - 0.0001559*L29^2 - 0.00000048*L29^3,360)</f>
        <v>133.935410845482</v>
      </c>
      <c r="N29" s="16" t="n">
        <f aca="false">MOD(280.46645 + 36000.76983*L29 + 0.0003032*L29^2,360)</f>
        <v>56.7245180563209</v>
      </c>
      <c r="O29" s="17" t="n">
        <f aca="false"> MOD((1.9146 - 0.004817*L29 - 0.000014*L29^2)*SIN(M29*$C$6) + (0.019993 - 0.000101*L29)*SIN(2*M29*$C$6) + 0.00029*SIN(3*M29*$C$6),360)</f>
        <v>1.35925080208654</v>
      </c>
      <c r="P29" s="16" t="n">
        <f aca="false">MOD(N29+O29,360)</f>
        <v>58.0837688584075</v>
      </c>
      <c r="Q29" s="18" t="n">
        <f aca="false">COS(P29*$C$6)</f>
        <v>0.5286788160406</v>
      </c>
      <c r="R29" s="17" t="n">
        <f aca="false">COS((23.4393-46.815*L29/3600)*$C$6)*SIN(P29*PI()/180)</f>
        <v>0.778772257301281</v>
      </c>
      <c r="S29" s="17" t="n">
        <f aca="false">SIN((23.4393-46.815*L29/3600)*$C$6)*SIN(P29*$C$6)</f>
        <v>0.337657342179578</v>
      </c>
      <c r="T29" s="18" t="n">
        <f aca="false">SQRT(1-S29^2)</f>
        <v>0.941269100349217</v>
      </c>
      <c r="U29" s="16" t="n">
        <f aca="false">ATAN(S29/T29)/$C$6</f>
        <v>19.7342108120005</v>
      </c>
      <c r="V29" s="16" t="n">
        <f aca="false">IF(2*ATAN(R29/(Q29+T29))/$C$6&gt;0, 2*ATAN(R29/(Q29+T29))/$C$6, 2*ATAN(R29/(Q29+T29))/$C$6+360)</f>
        <v>55.8289113173942</v>
      </c>
      <c r="W29" s="16" t="n">
        <f aca="false">MOD(280.46061837+360.98564736629*(K29-2451545)+0.000387933*L29^2-L29^3/3871000010 + $E$2,360)</f>
        <v>89.218667766545</v>
      </c>
      <c r="X29" s="19" t="n">
        <f aca="false">IF(W29-V29&gt;0,W29-V29,W29-V29+360)</f>
        <v>33.3897564491507</v>
      </c>
      <c r="Y29" s="17" t="n">
        <f aca="false">SIN($D$2*$C$6)*SIN(U29*$C$6) +COS($D$2*$C$6)*COS(U29*$C$6)*COS(X29*$C$6)</f>
        <v>0.763833176284009</v>
      </c>
      <c r="Z29" s="31" t="n">
        <f aca="false">SIN($C$6*X29)</f>
        <v>0.550331474107021</v>
      </c>
      <c r="AA29" s="31" t="n">
        <f aca="false">COS($C$6*X29)*SIN($C$6*$D$2) - TAN($C$6*U29)*COS($C$6*$D$2)</f>
        <v>0.409021563857934</v>
      </c>
      <c r="AB29" s="31" t="n">
        <f aca="false">IF(OR(AND(Z29*AA29&gt;0), AND(Z29&lt;0,AA29&gt;0)), MOD(ATAN2(AA29,Z29)/$C$6+360,360),  ATAN2(AA29,Z29)/$C$6)</f>
        <v>53.379248312679</v>
      </c>
      <c r="AC29" s="21" t="n">
        <f aca="false">(100013989+1670700*COS(3.0984635 + 6283.07585*L29/10)+13956*COS(3.05525 + 12566.1517*L29/10)+3084*COS(5.1985 + 77713.7715*L29/10) +1628*COS(1.1739 + 5753.3849*L29/10)+1576*COS(2.8469 + 7860.4194*L29/10)+925*COS(5.453 + 11506.77*L29/10)+542*COS(4.564 + 3930.21*L29/10)+472*COS(3.661 + 5884.927*L29/10)+346*COS(0.964 + 5507.553*L29/10)+329*COS(5.9 + 5223.694*L29/10)+307*COS(0.299 + 5573.143*L29/10)+243*COS(4.273 + 11790.629*L29/10)+212*COS(5.847 + 1577.344*L29/10)+186*COS(5.022 + 10977.079*L29/10)+175*COS(3.012 + 18849.228*L29/10)+110*COS(5.055 + 5486.778*L29/10)+98*COS(0.89 + 6069.78*L29/10)+86*COS(5.69 + 15720.84*L29/10)+86*COS(1.27 + 161000.69*L29/10)+65*COS(0.27 + 17260.15*L29/10)+63*COS(0.92 + 529.69*L29/10)+57*COS(2.01 + 83996.85*L29/10)+56*COS(5.24 + 71430.7*L29/10)+49*COS(3.25 + 2544.31*L29/10)+47*COS(2.58 + 775.52*L29/10)+45*COS(5.54 + 9437.76*L29/10)+43*COS(6.01 + 6275.96*L29/10)+39*COS(5.36 + 4694*L29/10)+38*COS(2.39 + 8827.39*L29/10)+37*COS(0.83 + 19651.05*L29/10)+37*COS(4.9 + 12139.55*L29/10)+36*COS(1.67 + 12036.46*L29/10)+35*COS(1.84 + 2942.46*L29/10)+33*COS(0.24 + 7084.9*L29/10)+32*COS(0.18 + 5088.63*L29/10)+32*COS(1.78 + 398.15*L29/10)+28*COS(1.21 + 6286.6*L29/10)+28*COS(1.9 + 6279.55*L29/10)+26*COS(4.59 + 10447.39*L29/10) +24.6*COS(3.787 + 8429.241*L29/10)+23.6*COS(0.269 + 796.3*L29/10)+27.8*COS(1.899 + 6279.55*L29/10)+23.9*COS(4.996 + 5856.48*L29/10)+20.3*COS(4.653 + 2146.165*L29/10))/100000000 + (103019*COS(1.10749 + 6283.07585*L29/10) +1721*COS(1.0644 + 12566.1517*L29/10) +702*COS(3.142 + 0*L29/10) +32*COS(1.02 + 18849.23*L29/10) +31*COS(2.84 + 5507.55*L29/10) +25*COS(1.32 + 5223.69*L29/10) +18*COS(1.42 + 1577.34*L29/10) +10*COS(5.91 + 10977.08*L29/10) +9*COS(1.42 + 6275.96*L29/10) +9*COS(0.27 + 5486.78*L29/10))*L29/1000000000  + (4359*COS(5.7846 + 6283.0758*L29/10)*L29^2+124*COS(5.579 + 12566.152*L29/10)*L29^2)/10000000000</f>
        <v>1.01173013905021</v>
      </c>
    </row>
    <row r="30" customFormat="false" ht="15" hidden="false" customHeight="false" outlineLevel="0" collapsed="false">
      <c r="D30" s="1"/>
      <c r="F30" s="20" t="n">
        <v>14</v>
      </c>
      <c r="G30" s="23" t="n">
        <f aca="false">ASIN(Y30)/$C$6</f>
        <v>45.7330252667527</v>
      </c>
      <c r="H30" s="23" t="n">
        <f aca="false">G30+1.02/(TAN($C$6*(G30+10.3/(G30+5.11)))*60)</f>
        <v>45.7494789375484</v>
      </c>
      <c r="I30" s="13" t="n">
        <f aca="false">IF(X30&gt;180,AB30-180,AB30+180)</f>
        <v>241.972056346051</v>
      </c>
      <c r="J30" s="13" t="n">
        <f aca="false">IF(ABS(4*(N30-0.0057183-V30))&lt;20,4*(N30-0.0057183-V30),4*(N30-0.0057183-V30-360))</f>
        <v>3.55860639664942</v>
      </c>
      <c r="K30" s="30" t="n">
        <f aca="false">INT(365.25*IF($B$2&gt;2,$C$2+4716,$C$2-1+4716))+INT(30.6001*IF($B$2&gt;2,$B$2+1,$B$2+12+1))+$A$2+F30/24+2-INT(IF($B$2&gt;2,$C$2,$C$2-1)/100)+INT(INT(IF($B$2&gt;2,$C$2,$C$2-1)/100)/4)-1524.5</f>
        <v>2448396.08333333</v>
      </c>
      <c r="L30" s="21" t="n">
        <f aca="false">(K30-2451545)/36525</f>
        <v>-0.086212639744463</v>
      </c>
      <c r="M30" s="16" t="n">
        <f aca="false">MOD(357.5291 + 35999.0503*L30 - 0.0001559*L30^2 - 0.00000048*L30^3,360)</f>
        <v>133.955944184859</v>
      </c>
      <c r="N30" s="16" t="n">
        <f aca="false">MOD(280.46645 + 36000.76983*L30 + 0.0003032*L30^2,360)</f>
        <v>56.7450523764474</v>
      </c>
      <c r="O30" s="17" t="n">
        <f aca="false"> MOD((1.9146 - 0.004817*L30 - 0.000014*L30^2)*SIN(M30*$C$6) + (0.019993 - 0.000101*L30)*SIN(2*M30*$C$6) + 0.00029*SIN(3*M30*$C$6),360)</f>
        <v>1.35877423449972</v>
      </c>
      <c r="P30" s="16" t="n">
        <f aca="false">MOD(N30+O30,360)</f>
        <v>58.1038266109471</v>
      </c>
      <c r="Q30" s="18" t="n">
        <f aca="false">COS(P30*$C$6)</f>
        <v>0.528381633305511</v>
      </c>
      <c r="R30" s="17" t="n">
        <f aca="false">COS((23.4393-46.815*L30/3600)*$C$6)*SIN(P30*PI()/180)</f>
        <v>0.778942012643011</v>
      </c>
      <c r="S30" s="17" t="n">
        <f aca="false">SIN((23.4393-46.815*L30/3600)*$C$6)*SIN(P30*$C$6)</f>
        <v>0.337730943985083</v>
      </c>
      <c r="T30" s="18" t="n">
        <f aca="false">SQRT(1-S30^2)</f>
        <v>0.941242694247846</v>
      </c>
      <c r="U30" s="16" t="n">
        <f aca="false">ATAN(S30/T30)/$C$6</f>
        <v>19.7386910737762</v>
      </c>
      <c r="V30" s="16" t="n">
        <f aca="false">IF(2*ATAN(R30/(Q30+T30))/$C$6&gt;0, 2*ATAN(R30/(Q30+T30))/$C$6, 2*ATAN(R30/(Q30+T30))/$C$6+360)</f>
        <v>55.849682477285</v>
      </c>
      <c r="W30" s="16" t="n">
        <f aca="false">MOD(280.46061837+360.98564736629*(K30-2451545)+0.000387933*L30^2-L30^3/3871000010 + $E$2,360)</f>
        <v>96.7392021426931</v>
      </c>
      <c r="X30" s="19" t="n">
        <f aca="false">IF(W30-V30&gt;0,W30-V30,W30-V30+360)</f>
        <v>40.8895196654081</v>
      </c>
      <c r="Y30" s="17" t="n">
        <f aca="false">SIN($D$2*$C$6)*SIN(U30*$C$6) +COS($D$2*$C$6)*COS(U30*$C$6)*COS(X30*$C$6)</f>
        <v>0.716095181111726</v>
      </c>
      <c r="Z30" s="31" t="n">
        <f aca="false">SIN($C$6*X30)</f>
        <v>0.654602544810632</v>
      </c>
      <c r="AA30" s="31" t="n">
        <f aca="false">COS($C$6*X30)*SIN($C$6*$D$2) - TAN($C$6*U30)*COS($C$6*$D$2)</f>
        <v>0.348467966984594</v>
      </c>
      <c r="AB30" s="31" t="n">
        <f aca="false">IF(OR(AND(Z30*AA30&gt;0), AND(Z30&lt;0,AA30&gt;0)), MOD(ATAN2(AA30,Z30)/$C$6+360,360),  ATAN2(AA30,Z30)/$C$6)</f>
        <v>61.9720563460508</v>
      </c>
      <c r="AC30" s="21" t="n">
        <f aca="false">(100013989+1670700*COS(3.0984635 + 6283.07585*L30/10)+13956*COS(3.05525 + 12566.1517*L30/10)+3084*COS(5.1985 + 77713.7715*L30/10) +1628*COS(1.1739 + 5753.3849*L30/10)+1576*COS(2.8469 + 7860.4194*L30/10)+925*COS(5.453 + 11506.77*L30/10)+542*COS(4.564 + 3930.21*L30/10)+472*COS(3.661 + 5884.927*L30/10)+346*COS(0.964 + 5507.553*L30/10)+329*COS(5.9 + 5223.694*L30/10)+307*COS(0.299 + 5573.143*L30/10)+243*COS(4.273 + 11790.629*L30/10)+212*COS(5.847 + 1577.344*L30/10)+186*COS(5.022 + 10977.079*L30/10)+175*COS(3.012 + 18849.228*L30/10)+110*COS(5.055 + 5486.778*L30/10)+98*COS(0.89 + 6069.78*L30/10)+86*COS(5.69 + 15720.84*L30/10)+86*COS(1.27 + 161000.69*L30/10)+65*COS(0.27 + 17260.15*L30/10)+63*COS(0.92 + 529.69*L30/10)+57*COS(2.01 + 83996.85*L30/10)+56*COS(5.24 + 71430.7*L30/10)+49*COS(3.25 + 2544.31*L30/10)+47*COS(2.58 + 775.52*L30/10)+45*COS(5.54 + 9437.76*L30/10)+43*COS(6.01 + 6275.96*L30/10)+39*COS(5.36 + 4694*L30/10)+38*COS(2.39 + 8827.39*L30/10)+37*COS(0.83 + 19651.05*L30/10)+37*COS(4.9 + 12139.55*L30/10)+36*COS(1.67 + 12036.46*L30/10)+35*COS(1.84 + 2942.46*L30/10)+33*COS(0.24 + 7084.9*L30/10)+32*COS(0.18 + 5088.63*L30/10)+32*COS(1.78 + 398.15*L30/10)+28*COS(1.21 + 6286.6*L30/10)+28*COS(1.9 + 6279.55*L30/10)+26*COS(4.59 + 10447.39*L30/10) +24.6*COS(3.787 + 8429.241*L30/10)+23.6*COS(0.269 + 796.3*L30/10)+27.8*COS(1.899 + 6279.55*L30/10)+23.9*COS(4.996 + 5856.48*L30/10)+20.3*COS(4.653 + 2146.165*L30/10))/100000000 + (103019*COS(1.10749 + 6283.07585*L30/10) +1721*COS(1.0644 + 12566.1517*L30/10) +702*COS(3.142 + 0*L30/10) +32*COS(1.02 + 18849.23*L30/10) +31*COS(2.84 + 5507.55*L30/10) +25*COS(1.32 + 5223.69*L30/10) +18*COS(1.42 + 1577.34*L30/10) +10*COS(5.91 + 10977.08*L30/10) +9*COS(1.42 + 6275.96*L30/10) +9*COS(0.27 + 5486.78*L30/10))*L30/1000000000  + (4359*COS(5.7846 + 6283.0758*L30/10)*L30^2+124*COS(5.579 + 12566.152*L30/10)*L30^2)/10000000000</f>
        <v>1.01173421462794</v>
      </c>
    </row>
    <row r="31" customFormat="false" ht="15" hidden="false" customHeight="false" outlineLevel="0" collapsed="false">
      <c r="D31" s="1"/>
      <c r="F31" s="20" t="n">
        <v>14.5</v>
      </c>
      <c r="G31" s="23" t="n">
        <f aca="false">ASIN(Y31)/$C$6</f>
        <v>41.3406641588421</v>
      </c>
      <c r="H31" s="23" t="n">
        <f aca="false">G31+1.02/(TAN($C$6*(G31+10.3/(G31+5.11)))*60)</f>
        <v>41.3598370441261</v>
      </c>
      <c r="I31" s="13" t="n">
        <f aca="false">IF(X31&gt;180,AB31-180,AB31+180)</f>
        <v>249.603440545179</v>
      </c>
      <c r="J31" s="13" t="n">
        <f aca="false">IF(ABS(4*(N31-0.0057183-V31))&lt;20,4*(N31-0.0057183-V31),4*(N31-0.0057183-V31-360))</f>
        <v>3.55765506826387</v>
      </c>
      <c r="K31" s="30" t="n">
        <f aca="false">INT(365.25*IF($B$2&gt;2,$C$2+4716,$C$2-1+4716))+INT(30.6001*IF($B$2&gt;2,$B$2+1,$B$2+12+1))+$A$2+F31/24+2-INT(IF($B$2&gt;2,$C$2,$C$2-1)/100)+INT(INT(IF($B$2&gt;2,$C$2,$C$2-1)/100)/4)-1524.5</f>
        <v>2448396.10416667</v>
      </c>
      <c r="L31" s="21" t="n">
        <f aca="false">(K31-2451545)/36525</f>
        <v>-0.0862120693588909</v>
      </c>
      <c r="M31" s="16" t="n">
        <f aca="false">MOD(357.5291 + 35999.0503*L31 - 0.0001559*L31^2 - 0.00000048*L31^3,360)</f>
        <v>133.976477523776</v>
      </c>
      <c r="N31" s="16" t="n">
        <f aca="false">MOD(280.46645 + 36000.76983*L31 + 0.0003032*L31^2,360)</f>
        <v>56.765586696115</v>
      </c>
      <c r="O31" s="17" t="n">
        <f aca="false"> MOD((1.9146 - 0.004817*L31 - 0.000014*L31^2)*SIN(M31*$C$6) + (0.019993 - 0.000101*L31)*SIN(2*M31*$C$6) + 0.00029*SIN(3*M31*$C$6),360)</f>
        <v>1.35829749991717</v>
      </c>
      <c r="P31" s="16" t="n">
        <f aca="false">MOD(N31+O31,360)</f>
        <v>58.1238841960321</v>
      </c>
      <c r="Q31" s="18" t="n">
        <f aca="false">COS(P31*$C$6)</f>
        <v>0.528084388298242</v>
      </c>
      <c r="R31" s="17" t="n">
        <f aca="false">COS((23.4393-46.815*L31/3600)*$C$6)*SIN(P31*PI()/180)</f>
        <v>0.779111671108081</v>
      </c>
      <c r="S31" s="17" t="n">
        <f aca="false">SIN((23.4393-46.815*L31/3600)*$C$6)*SIN(P31*$C$6)</f>
        <v>0.337804503787094</v>
      </c>
      <c r="T31" s="18" t="n">
        <f aca="false">SQRT(1-S31^2)</f>
        <v>0.941216296725229</v>
      </c>
      <c r="U31" s="16" t="n">
        <f aca="false">ATAN(S31/T31)/$C$6</f>
        <v>19.743168904332</v>
      </c>
      <c r="V31" s="16" t="n">
        <f aca="false">IF(2*ATAN(R31/(Q31+T31))/$C$6&gt;0, 2*ATAN(R31/(Q31+T31))/$C$6, 2*ATAN(R31/(Q31+T31))/$C$6+360)</f>
        <v>55.870454629049</v>
      </c>
      <c r="W31" s="16" t="n">
        <f aca="false">MOD(280.46061837+360.98564736629*(K31-2451545)+0.000387933*L31^2-L31^3/3871000010 + $E$2,360)</f>
        <v>104.259736350738</v>
      </c>
      <c r="X31" s="19" t="n">
        <f aca="false">IF(W31-V31&gt;0,W31-V31,W31-V31+360)</f>
        <v>48.3892817216885</v>
      </c>
      <c r="Y31" s="17" t="n">
        <f aca="false">SIN($D$2*$C$6)*SIN(U31*$C$6) +COS($D$2*$C$6)*COS(U31*$C$6)*COS(X31*$C$6)</f>
        <v>0.660534691472038</v>
      </c>
      <c r="Z31" s="31" t="n">
        <f aca="false">SIN($C$6*X31)</f>
        <v>0.747673877238243</v>
      </c>
      <c r="AA31" s="31" t="n">
        <f aca="false">COS($C$6*X31)*SIN($C$6*$D$2) - TAN($C$6*U31)*COS($C$6*$D$2)</f>
        <v>0.278006317084581</v>
      </c>
      <c r="AB31" s="31" t="n">
        <f aca="false">IF(OR(AND(Z31*AA31&gt;0), AND(Z31&lt;0,AA31&gt;0)), MOD(ATAN2(AA31,Z31)/$C$6+360,360),  ATAN2(AA31,Z31)/$C$6)</f>
        <v>69.6034405451787</v>
      </c>
      <c r="AC31" s="21" t="n">
        <f aca="false">(100013989+1670700*COS(3.0984635 + 6283.07585*L31/10)+13956*COS(3.05525 + 12566.1517*L31/10)+3084*COS(5.1985 + 77713.7715*L31/10) +1628*COS(1.1739 + 5753.3849*L31/10)+1576*COS(2.8469 + 7860.4194*L31/10)+925*COS(5.453 + 11506.77*L31/10)+542*COS(4.564 + 3930.21*L31/10)+472*COS(3.661 + 5884.927*L31/10)+346*COS(0.964 + 5507.553*L31/10)+329*COS(5.9 + 5223.694*L31/10)+307*COS(0.299 + 5573.143*L31/10)+243*COS(4.273 + 11790.629*L31/10)+212*COS(5.847 + 1577.344*L31/10)+186*COS(5.022 + 10977.079*L31/10)+175*COS(3.012 + 18849.228*L31/10)+110*COS(5.055 + 5486.778*L31/10)+98*COS(0.89 + 6069.78*L31/10)+86*COS(5.69 + 15720.84*L31/10)+86*COS(1.27 + 161000.69*L31/10)+65*COS(0.27 + 17260.15*L31/10)+63*COS(0.92 + 529.69*L31/10)+57*COS(2.01 + 83996.85*L31/10)+56*COS(5.24 + 71430.7*L31/10)+49*COS(3.25 + 2544.31*L31/10)+47*COS(2.58 + 775.52*L31/10)+45*COS(5.54 + 9437.76*L31/10)+43*COS(6.01 + 6275.96*L31/10)+39*COS(5.36 + 4694*L31/10)+38*COS(2.39 + 8827.39*L31/10)+37*COS(0.83 + 19651.05*L31/10)+37*COS(4.9 + 12139.55*L31/10)+36*COS(1.67 + 12036.46*L31/10)+35*COS(1.84 + 2942.46*L31/10)+33*COS(0.24 + 7084.9*L31/10)+32*COS(0.18 + 5088.63*L31/10)+32*COS(1.78 + 398.15*L31/10)+28*COS(1.21 + 6286.6*L31/10)+28*COS(1.9 + 6279.55*L31/10)+26*COS(4.59 + 10447.39*L31/10) +24.6*COS(3.787 + 8429.241*L31/10)+23.6*COS(0.269 + 796.3*L31/10)+27.8*COS(1.899 + 6279.55*L31/10)+23.9*COS(4.996 + 5856.48*L31/10)+20.3*COS(4.653 + 2146.165*L31/10))/100000000 + (103019*COS(1.10749 + 6283.07585*L31/10) +1721*COS(1.0644 + 12566.1517*L31/10) +702*COS(3.142 + 0*L31/10) +32*COS(1.02 + 18849.23*L31/10) +31*COS(2.84 + 5507.55*L31/10) +25*COS(1.32 + 5223.69*L31/10) +18*COS(1.42 + 1577.34*L31/10) +10*COS(5.91 + 10977.08*L31/10) +9*COS(1.42 + 6275.96*L31/10) +9*COS(0.27 + 5486.78*L31/10))*L31/1000000000  + (4359*COS(5.7846 + 6283.0758*L31/10)*L31^2+124*COS(5.579 + 12566.152*L31/10)*L31^2)/10000000000</f>
        <v>1.01173828851287</v>
      </c>
    </row>
    <row r="32" customFormat="false" ht="15" hidden="false" customHeight="false" outlineLevel="0" collapsed="false">
      <c r="D32" s="1"/>
      <c r="F32" s="20" t="n">
        <v>15</v>
      </c>
      <c r="G32" s="23" t="n">
        <f aca="false">ASIN(Y32)/$C$6</f>
        <v>36.7342039586428</v>
      </c>
      <c r="H32" s="23" t="n">
        <f aca="false">G32+1.02/(TAN($C$6*(G32+10.3/(G32+5.11)))*60)</f>
        <v>36.7567798213924</v>
      </c>
      <c r="I32" s="13" t="n">
        <f aca="false">IF(X32&gt;180,AB32-180,AB32+180)</f>
        <v>256.495601023102</v>
      </c>
      <c r="J32" s="13" t="n">
        <f aca="false">IF(ABS(4*(N32-0.0057183-V32))&lt;20,4*(N32-0.0057183-V32),4*(N32-0.0057183-V32-360))</f>
        <v>3.55669977145538</v>
      </c>
      <c r="K32" s="30" t="n">
        <f aca="false">INT(365.25*IF($B$2&gt;2,$C$2+4716,$C$2-1+4716))+INT(30.6001*IF($B$2&gt;2,$B$2+1,$B$2+12+1))+$A$2+F32/24+2-INT(IF($B$2&gt;2,$C$2,$C$2-1)/100)+INT(INT(IF($B$2&gt;2,$C$2,$C$2-1)/100)/4)-1524.5</f>
        <v>2448396.125</v>
      </c>
      <c r="L32" s="21" t="n">
        <f aca="false">(K32-2451545)/36525</f>
        <v>-0.086211498973306</v>
      </c>
      <c r="M32" s="16" t="n">
        <f aca="false">MOD(357.5291 + 35999.0503*L32 - 0.0001559*L32^2 - 0.00000048*L32^3,360)</f>
        <v>133.997010863153</v>
      </c>
      <c r="N32" s="16" t="n">
        <f aca="false">MOD(280.46645 + 36000.76983*L32 + 0.0003032*L32^2,360)</f>
        <v>56.7861210162414</v>
      </c>
      <c r="O32" s="17" t="n">
        <f aca="false"> MOD((1.9146 - 0.004817*L32 - 0.000014*L32^2)*SIN(M32*$C$6) + (0.019993 - 0.000101*L32)*SIN(2*M32*$C$6) + 0.00029*SIN(3*M32*$C$6),360)</f>
        <v>1.35782059837878</v>
      </c>
      <c r="P32" s="16" t="n">
        <f aca="false">MOD(N32+O32,360)</f>
        <v>58.1439416146202</v>
      </c>
      <c r="Q32" s="18" t="n">
        <f aca="false">COS(P32*$C$6)</f>
        <v>0.527787081042646</v>
      </c>
      <c r="R32" s="17" t="n">
        <f aca="false">COS((23.4393-46.815*L32/3600)*$C$6)*SIN(P32*PI()/180)</f>
        <v>0.779281232686183</v>
      </c>
      <c r="S32" s="17" t="n">
        <f aca="false">SIN((23.4393-46.815*L32/3600)*$C$6)*SIN(P32*$C$6)</f>
        <v>0.337878021581141</v>
      </c>
      <c r="T32" s="18" t="n">
        <f aca="false">SQRT(1-S32^2)</f>
        <v>0.941189907793541</v>
      </c>
      <c r="U32" s="16" t="n">
        <f aca="false">ATAN(S32/T32)/$C$6</f>
        <v>19.7476443032186</v>
      </c>
      <c r="V32" s="16" t="n">
        <f aca="false">IF(2*ATAN(R32/(Q32+T32))/$C$6&gt;0, 2*ATAN(R32/(Q32+T32))/$C$6, 2*ATAN(R32/(Q32+T32))/$C$6+360)</f>
        <v>55.8912277733776</v>
      </c>
      <c r="W32" s="16" t="n">
        <f aca="false">MOD(280.46061837+360.98564736629*(K32-2451545)+0.000387933*L32^2-L32^3/3871000010 + $E$2,360)</f>
        <v>111.780270726886</v>
      </c>
      <c r="X32" s="19" t="n">
        <f aca="false">IF(W32-V32&gt;0,W32-V32,W32-V32+360)</f>
        <v>55.8890429535081</v>
      </c>
      <c r="Y32" s="17" t="n">
        <f aca="false">SIN($D$2*$C$6)*SIN(U32*$C$6) +COS($D$2*$C$6)*COS(U32*$C$6)*COS(X32*$C$6)</f>
        <v>0.598103677823485</v>
      </c>
      <c r="Z32" s="31" t="n">
        <f aca="false">SIN($C$6*X32)</f>
        <v>0.827953104821328</v>
      </c>
      <c r="AA32" s="31" t="n">
        <f aca="false">COS($C$6*X32)*SIN($C$6*$D$2) - TAN($C$6*U32)*COS($C$6*$D$2)</f>
        <v>0.198841186559729</v>
      </c>
      <c r="AB32" s="31" t="n">
        <f aca="false">IF(OR(AND(Z32*AA32&gt;0), AND(Z32&lt;0,AA32&gt;0)), MOD(ATAN2(AA32,Z32)/$C$6+360,360),  ATAN2(AA32,Z32)/$C$6)</f>
        <v>76.4956010231015</v>
      </c>
      <c r="AC32" s="21" t="n">
        <f aca="false">(100013989+1670700*COS(3.0984635 + 6283.07585*L32/10)+13956*COS(3.05525 + 12566.1517*L32/10)+3084*COS(5.1985 + 77713.7715*L32/10) +1628*COS(1.1739 + 5753.3849*L32/10)+1576*COS(2.8469 + 7860.4194*L32/10)+925*COS(5.453 + 11506.77*L32/10)+542*COS(4.564 + 3930.21*L32/10)+472*COS(3.661 + 5884.927*L32/10)+346*COS(0.964 + 5507.553*L32/10)+329*COS(5.9 + 5223.694*L32/10)+307*COS(0.299 + 5573.143*L32/10)+243*COS(4.273 + 11790.629*L32/10)+212*COS(5.847 + 1577.344*L32/10)+186*COS(5.022 + 10977.079*L32/10)+175*COS(3.012 + 18849.228*L32/10)+110*COS(5.055 + 5486.778*L32/10)+98*COS(0.89 + 6069.78*L32/10)+86*COS(5.69 + 15720.84*L32/10)+86*COS(1.27 + 161000.69*L32/10)+65*COS(0.27 + 17260.15*L32/10)+63*COS(0.92 + 529.69*L32/10)+57*COS(2.01 + 83996.85*L32/10)+56*COS(5.24 + 71430.7*L32/10)+49*COS(3.25 + 2544.31*L32/10)+47*COS(2.58 + 775.52*L32/10)+45*COS(5.54 + 9437.76*L32/10)+43*COS(6.01 + 6275.96*L32/10)+39*COS(5.36 + 4694*L32/10)+38*COS(2.39 + 8827.39*L32/10)+37*COS(0.83 + 19651.05*L32/10)+37*COS(4.9 + 12139.55*L32/10)+36*COS(1.67 + 12036.46*L32/10)+35*COS(1.84 + 2942.46*L32/10)+33*COS(0.24 + 7084.9*L32/10)+32*COS(0.18 + 5088.63*L32/10)+32*COS(1.78 + 398.15*L32/10)+28*COS(1.21 + 6286.6*L32/10)+28*COS(1.9 + 6279.55*L32/10)+26*COS(4.59 + 10447.39*L32/10) +24.6*COS(3.787 + 8429.241*L32/10)+23.6*COS(0.269 + 796.3*L32/10)+27.8*COS(1.899 + 6279.55*L32/10)+23.9*COS(4.996 + 5856.48*L32/10)+20.3*COS(4.653 + 2146.165*L32/10))/100000000 + (103019*COS(1.10749 + 6283.07585*L32/10) +1721*COS(1.0644 + 12566.1517*L32/10) +702*COS(3.142 + 0*L32/10) +32*COS(1.02 + 18849.23*L32/10) +31*COS(2.84 + 5507.55*L32/10) +25*COS(1.32 + 5223.69*L32/10) +18*COS(1.42 + 1577.34*L32/10) +10*COS(5.91 + 10977.08*L32/10) +9*COS(1.42 + 6275.96*L32/10) +9*COS(0.27 + 5486.78*L32/10))*L32/1000000000  + (4359*COS(5.7846 + 6283.0758*L32/10)*L32^2+124*COS(5.579 + 12566.152*L32/10)*L32^2)/10000000000</f>
        <v>1.01174236070786</v>
      </c>
    </row>
    <row r="33" customFormat="false" ht="15" hidden="false" customHeight="false" outlineLevel="0" collapsed="false">
      <c r="D33" s="1"/>
      <c r="F33" s="20" t="n">
        <v>15.5</v>
      </c>
      <c r="G33" s="23" t="n">
        <f aca="false">ASIN(Y33)/$C$6</f>
        <v>31.9967801187635</v>
      </c>
      <c r="H33" s="23" t="n">
        <f aca="false">G33+1.02/(TAN($C$6*(G33+10.3/(G33+5.11)))*60)</f>
        <v>32.0236981245287</v>
      </c>
      <c r="I33" s="13" t="n">
        <f aca="false">IF(X33&gt;180,AB33-180,AB33+180)</f>
        <v>262.8391640376</v>
      </c>
      <c r="J33" s="13" t="n">
        <f aca="false">IF(ABS(4*(N33-0.0057183-V33))&lt;20,4*(N33-0.0057183-V33),4*(N33-0.0057183-V33-360))</f>
        <v>3.55574050719542</v>
      </c>
      <c r="K33" s="30" t="n">
        <f aca="false">INT(365.25*IF($B$2&gt;2,$C$2+4716,$C$2-1+4716))+INT(30.6001*IF($B$2&gt;2,$B$2+1,$B$2+12+1))+$A$2+F33/24+2-INT(IF($B$2&gt;2,$C$2,$C$2-1)/100)+INT(INT(IF($B$2&gt;2,$C$2,$C$2-1)/100)/4)-1524.5</f>
        <v>2448396.14583333</v>
      </c>
      <c r="L33" s="21" t="n">
        <f aca="false">(K33-2451545)/36525</f>
        <v>-0.0862109285877211</v>
      </c>
      <c r="M33" s="16" t="n">
        <f aca="false">MOD(357.5291 + 35999.0503*L33 - 0.0001559*L33^2 - 0.00000048*L33^3,360)</f>
        <v>134.01754420253</v>
      </c>
      <c r="N33" s="16" t="n">
        <f aca="false">MOD(280.46645 + 36000.76983*L33 + 0.0003032*L33^2,360)</f>
        <v>56.8066553363678</v>
      </c>
      <c r="O33" s="17" t="n">
        <f aca="false"> MOD((1.9146 - 0.004817*L33 - 0.000014*L33^2)*SIN(M33*$C$6) + (0.019993 - 0.000101*L33)*SIN(2*M33*$C$6) + 0.00029*SIN(3*M33*$C$6),360)</f>
        <v>1.35734352995639</v>
      </c>
      <c r="P33" s="16" t="n">
        <f aca="false">MOD(N33+O33,360)</f>
        <v>58.1639988663242</v>
      </c>
      <c r="Q33" s="18" t="n">
        <f aca="false">COS(P33*$C$6)</f>
        <v>0.527489711582506</v>
      </c>
      <c r="R33" s="17" t="n">
        <f aca="false">COS((23.4393-46.815*L33/3600)*$C$6)*SIN(P33*PI()/180)</f>
        <v>0.779450697355648</v>
      </c>
      <c r="S33" s="17" t="n">
        <f aca="false">SIN((23.4393-46.815*L33/3600)*$C$6)*SIN(P33*$C$6)</f>
        <v>0.337951497357829</v>
      </c>
      <c r="T33" s="18" t="n">
        <f aca="false">SQRT(1-S33^2)</f>
        <v>0.941163527466721</v>
      </c>
      <c r="U33" s="16" t="n">
        <f aca="false">ATAN(S33/T33)/$C$6</f>
        <v>19.7521172696867</v>
      </c>
      <c r="V33" s="16" t="n">
        <f aca="false">IF(2*ATAN(R33/(Q33+T33))/$C$6&gt;0, 2*ATAN(R33/(Q33+T33))/$C$6, 2*ATAN(R33/(Q33+T33))/$C$6+360)</f>
        <v>55.912001909569</v>
      </c>
      <c r="W33" s="16" t="n">
        <f aca="false">MOD(280.46061837+360.98564736629*(K33-2451545)+0.000387933*L33^2-L33^3/3871000010 + $E$2,360)</f>
        <v>119.300805103034</v>
      </c>
      <c r="X33" s="19" t="n">
        <f aca="false">IF(W33-V33&gt;0,W33-V33,W33-V33+360)</f>
        <v>63.3888031934648</v>
      </c>
      <c r="Y33" s="17" t="n">
        <f aca="false">SIN($D$2*$C$6)*SIN(U33*$C$6) +COS($D$2*$C$6)*COS(U33*$C$6)*COS(X33*$C$6)</f>
        <v>0.529871605188882</v>
      </c>
      <c r="Z33" s="31" t="n">
        <f aca="false">SIN($C$6*X33)</f>
        <v>0.894066718175031</v>
      </c>
      <c r="AA33" s="31" t="n">
        <f aca="false">COS($C$6*X33)*SIN($C$6*$D$2) - TAN($C$6*U33)*COS($C$6*$D$2)</f>
        <v>0.112326061571188</v>
      </c>
      <c r="AB33" s="31" t="n">
        <f aca="false">IF(OR(AND(Z33*AA33&gt;0), AND(Z33&lt;0,AA33&gt;0)), MOD(ATAN2(AA33,Z33)/$C$6+360,360),  ATAN2(AA33,Z33)/$C$6)</f>
        <v>82.8391640376003</v>
      </c>
      <c r="AC33" s="21" t="n">
        <f aca="false">(100013989+1670700*COS(3.0984635 + 6283.07585*L33/10)+13956*COS(3.05525 + 12566.1517*L33/10)+3084*COS(5.1985 + 77713.7715*L33/10) +1628*COS(1.1739 + 5753.3849*L33/10)+1576*COS(2.8469 + 7860.4194*L33/10)+925*COS(5.453 + 11506.77*L33/10)+542*COS(4.564 + 3930.21*L33/10)+472*COS(3.661 + 5884.927*L33/10)+346*COS(0.964 + 5507.553*L33/10)+329*COS(5.9 + 5223.694*L33/10)+307*COS(0.299 + 5573.143*L33/10)+243*COS(4.273 + 11790.629*L33/10)+212*COS(5.847 + 1577.344*L33/10)+186*COS(5.022 + 10977.079*L33/10)+175*COS(3.012 + 18849.228*L33/10)+110*COS(5.055 + 5486.778*L33/10)+98*COS(0.89 + 6069.78*L33/10)+86*COS(5.69 + 15720.84*L33/10)+86*COS(1.27 + 161000.69*L33/10)+65*COS(0.27 + 17260.15*L33/10)+63*COS(0.92 + 529.69*L33/10)+57*COS(2.01 + 83996.85*L33/10)+56*COS(5.24 + 71430.7*L33/10)+49*COS(3.25 + 2544.31*L33/10)+47*COS(2.58 + 775.52*L33/10)+45*COS(5.54 + 9437.76*L33/10)+43*COS(6.01 + 6275.96*L33/10)+39*COS(5.36 + 4694*L33/10)+38*COS(2.39 + 8827.39*L33/10)+37*COS(0.83 + 19651.05*L33/10)+37*COS(4.9 + 12139.55*L33/10)+36*COS(1.67 + 12036.46*L33/10)+35*COS(1.84 + 2942.46*L33/10)+33*COS(0.24 + 7084.9*L33/10)+32*COS(0.18 + 5088.63*L33/10)+32*COS(1.78 + 398.15*L33/10)+28*COS(1.21 + 6286.6*L33/10)+28*COS(1.9 + 6279.55*L33/10)+26*COS(4.59 + 10447.39*L33/10) +24.6*COS(3.787 + 8429.241*L33/10)+23.6*COS(0.269 + 796.3*L33/10)+27.8*COS(1.899 + 6279.55*L33/10)+23.9*COS(4.996 + 5856.48*L33/10)+20.3*COS(4.653 + 2146.165*L33/10))/100000000 + (103019*COS(1.10749 + 6283.07585*L33/10) +1721*COS(1.0644 + 12566.1517*L33/10) +702*COS(3.142 + 0*L33/10) +32*COS(1.02 + 18849.23*L33/10) +31*COS(2.84 + 5507.55*L33/10) +25*COS(1.32 + 5223.69*L33/10) +18*COS(1.42 + 1577.34*L33/10) +10*COS(5.91 + 10977.08*L33/10) +9*COS(1.42 + 6275.96*L33/10) +9*COS(0.27 + 5486.78*L33/10))*L33/1000000000  + (4359*COS(5.7846 + 6283.0758*L33/10)*L33^2+124*COS(5.579 + 12566.152*L33/10)*L33^2)/10000000000</f>
        <v>1.01174643121547</v>
      </c>
    </row>
    <row r="34" customFormat="false" ht="15" hidden="false" customHeight="false" outlineLevel="0" collapsed="false">
      <c r="D34" s="1"/>
      <c r="F34" s="20" t="n">
        <v>16</v>
      </c>
      <c r="G34" s="23" t="n">
        <f aca="false">ASIN(Y34)/$C$6</f>
        <v>27.1941508076786</v>
      </c>
      <c r="H34" s="23" t="n">
        <f aca="false">G34+1.02/(TAN($C$6*(G34+10.3/(G34+5.11)))*60)</f>
        <v>27.2267894274496</v>
      </c>
      <c r="I34" s="13" t="n">
        <f aca="false">IF(X34&gt;180,AB34-180,AB34+180)</f>
        <v>268.791048246803</v>
      </c>
      <c r="J34" s="13" t="n">
        <f aca="false">IF(ABS(4*(N34-0.0057183-V34))&lt;20,4*(N34-0.0057183-V34),4*(N34-0.0057183-V34-360))</f>
        <v>3.55477727645825</v>
      </c>
      <c r="K34" s="30" t="n">
        <f aca="false">INT(365.25*IF($B$2&gt;2,$C$2+4716,$C$2-1+4716))+INT(30.6001*IF($B$2&gt;2,$B$2+1,$B$2+12+1))+$A$2+F34/24+2-INT(IF($B$2&gt;2,$C$2,$C$2-1)/100)+INT(INT(IF($B$2&gt;2,$C$2,$C$2-1)/100)/4)-1524.5</f>
        <v>2448396.16666667</v>
      </c>
      <c r="L34" s="21" t="n">
        <f aca="false">(K34-2451545)/36525</f>
        <v>-0.0862103582021489</v>
      </c>
      <c r="M34" s="16" t="n">
        <f aca="false">MOD(357.5291 + 35999.0503*L34 - 0.0001559*L34^2 - 0.00000048*L34^3,360)</f>
        <v>134.038077541448</v>
      </c>
      <c r="N34" s="16" t="n">
        <f aca="false">MOD(280.46645 + 36000.76983*L34 + 0.0003032*L34^2,360)</f>
        <v>56.8271896560359</v>
      </c>
      <c r="O34" s="17" t="n">
        <f aca="false"> MOD((1.9146 - 0.004817*L34 - 0.000014*L34^2)*SIN(M34*$C$6) + (0.019993 - 0.000101*L34)*SIN(2*M34*$C$6) + 0.00029*SIN(3*M34*$C$6),360)</f>
        <v>1.35686629472191</v>
      </c>
      <c r="P34" s="16" t="n">
        <f aca="false">MOD(N34+O34,360)</f>
        <v>58.1840559507578</v>
      </c>
      <c r="Q34" s="18" t="n">
        <f aca="false">COS(P34*$C$6)</f>
        <v>0.527192279961611</v>
      </c>
      <c r="R34" s="17" t="n">
        <f aca="false">COS((23.4393-46.815*L34/3600)*$C$6)*SIN(P34*PI()/180)</f>
        <v>0.779620065094828</v>
      </c>
      <c r="S34" s="17" t="n">
        <f aca="false">SIN((23.4393-46.815*L34/3600)*$C$6)*SIN(P34*$C$6)</f>
        <v>0.338024931107773</v>
      </c>
      <c r="T34" s="18" t="n">
        <f aca="false">SQRT(1-S34^2)</f>
        <v>0.941137155758705</v>
      </c>
      <c r="U34" s="16" t="n">
        <f aca="false">ATAN(S34/T34)/$C$6</f>
        <v>19.7565878029877</v>
      </c>
      <c r="V34" s="16" t="n">
        <f aca="false">IF(2*ATAN(R34/(Q34+T34))/$C$6&gt;0, 2*ATAN(R34/(Q34+T34))/$C$6, 2*ATAN(R34/(Q34+T34))/$C$6+360)</f>
        <v>55.9327770369213</v>
      </c>
      <c r="W34" s="16" t="n">
        <f aca="false">MOD(280.46061837+360.98564736629*(K34-2451545)+0.000387933*L34^2-L34^3/3871000010 + $E$2,360)</f>
        <v>126.821339311078</v>
      </c>
      <c r="X34" s="19" t="n">
        <f aca="false">IF(W34-V34&gt;0,W34-V34,W34-V34+360)</f>
        <v>70.8885622741569</v>
      </c>
      <c r="Y34" s="17" t="n">
        <f aca="false">SIN($D$2*$C$6)*SIN(U34*$C$6) +COS($D$2*$C$6)*COS(U34*$C$6)*COS(X34*$C$6)</f>
        <v>0.457007126236542</v>
      </c>
      <c r="Z34" s="31" t="n">
        <f aca="false">SIN($C$6*X34)</f>
        <v>0.944883572137518</v>
      </c>
      <c r="AA34" s="31" t="n">
        <f aca="false">COS($C$6*X34)*SIN($C$6*$D$2) - TAN($C$6*U34)*COS($C$6*$D$2)</f>
        <v>0.0199401808987278</v>
      </c>
      <c r="AB34" s="31" t="n">
        <f aca="false">IF(OR(AND(Z34*AA34&gt;0), AND(Z34&lt;0,AA34&gt;0)), MOD(ATAN2(AA34,Z34)/$C$6+360,360),  ATAN2(AA34,Z34)/$C$6)</f>
        <v>88.7910482468032</v>
      </c>
      <c r="AC34" s="21" t="n">
        <f aca="false">(100013989+1670700*COS(3.0984635 + 6283.07585*L34/10)+13956*COS(3.05525 + 12566.1517*L34/10)+3084*COS(5.1985 + 77713.7715*L34/10) +1628*COS(1.1739 + 5753.3849*L34/10)+1576*COS(2.8469 + 7860.4194*L34/10)+925*COS(5.453 + 11506.77*L34/10)+542*COS(4.564 + 3930.21*L34/10)+472*COS(3.661 + 5884.927*L34/10)+346*COS(0.964 + 5507.553*L34/10)+329*COS(5.9 + 5223.694*L34/10)+307*COS(0.299 + 5573.143*L34/10)+243*COS(4.273 + 11790.629*L34/10)+212*COS(5.847 + 1577.344*L34/10)+186*COS(5.022 + 10977.079*L34/10)+175*COS(3.012 + 18849.228*L34/10)+110*COS(5.055 + 5486.778*L34/10)+98*COS(0.89 + 6069.78*L34/10)+86*COS(5.69 + 15720.84*L34/10)+86*COS(1.27 + 161000.69*L34/10)+65*COS(0.27 + 17260.15*L34/10)+63*COS(0.92 + 529.69*L34/10)+57*COS(2.01 + 83996.85*L34/10)+56*COS(5.24 + 71430.7*L34/10)+49*COS(3.25 + 2544.31*L34/10)+47*COS(2.58 + 775.52*L34/10)+45*COS(5.54 + 9437.76*L34/10)+43*COS(6.01 + 6275.96*L34/10)+39*COS(5.36 + 4694*L34/10)+38*COS(2.39 + 8827.39*L34/10)+37*COS(0.83 + 19651.05*L34/10)+37*COS(4.9 + 12139.55*L34/10)+36*COS(1.67 + 12036.46*L34/10)+35*COS(1.84 + 2942.46*L34/10)+33*COS(0.24 + 7084.9*L34/10)+32*COS(0.18 + 5088.63*L34/10)+32*COS(1.78 + 398.15*L34/10)+28*COS(1.21 + 6286.6*L34/10)+28*COS(1.9 + 6279.55*L34/10)+26*COS(4.59 + 10447.39*L34/10) +24.6*COS(3.787 + 8429.241*L34/10)+23.6*COS(0.269 + 796.3*L34/10)+27.8*COS(1.899 + 6279.55*L34/10)+23.9*COS(4.996 + 5856.48*L34/10)+20.3*COS(4.653 + 2146.165*L34/10))/100000000 + (103019*COS(1.10749 + 6283.07585*L34/10) +1721*COS(1.0644 + 12566.1517*L34/10) +702*COS(3.142 + 0*L34/10) +32*COS(1.02 + 18849.23*L34/10) +31*COS(2.84 + 5507.55*L34/10) +25*COS(1.32 + 5223.69*L34/10) +18*COS(1.42 + 1577.34*L34/10) +10*COS(5.91 + 10977.08*L34/10) +9*COS(1.42 + 6275.96*L34/10) +9*COS(0.27 + 5486.78*L34/10))*L34/1000000000  + (4359*COS(5.7846 + 6283.0758*L34/10)*L34^2+124*COS(5.579 + 12566.152*L34/10)*L34^2)/10000000000</f>
        <v>1.0117505000383</v>
      </c>
    </row>
    <row r="35" customFormat="false" ht="15" hidden="false" customHeight="false" outlineLevel="0" collapsed="false">
      <c r="D35" s="1"/>
      <c r="F35" s="20" t="n">
        <v>16.5</v>
      </c>
      <c r="G35" s="23" t="n">
        <f aca="false">ASIN(Y35)/$C$6</f>
        <v>22.3806475408964</v>
      </c>
      <c r="H35" s="23" t="n">
        <f aca="false">G35+1.02/(TAN($C$6*(G35+10.3/(G35+5.11)))*60)</f>
        <v>22.4211773858171</v>
      </c>
      <c r="I35" s="13" t="n">
        <f aca="false">IF(X35&gt;180,AB35-180,AB35+180)</f>
        <v>274.479406627131</v>
      </c>
      <c r="J35" s="13" t="n">
        <f aca="false">IF(ABS(4*(N35-0.0057183-V35))&lt;20,4*(N35-0.0057183-V35),4*(N35-0.0057183-V35-360))</f>
        <v>3.55381008015615</v>
      </c>
      <c r="K35" s="30" t="n">
        <f aca="false">INT(365.25*IF($B$2&gt;2,$C$2+4716,$C$2-1+4716))+INT(30.6001*IF($B$2&gt;2,$B$2+1,$B$2+12+1))+$A$2+F35/24+2-INT(IF($B$2&gt;2,$C$2,$C$2-1)/100)+INT(INT(IF($B$2&gt;2,$C$2,$C$2-1)/100)/4)-1524.5</f>
        <v>2448396.1875</v>
      </c>
      <c r="L35" s="21" t="n">
        <f aca="false">(K35-2451545)/36525</f>
        <v>-0.086209787816564</v>
      </c>
      <c r="M35" s="16" t="n">
        <f aca="false">MOD(357.5291 + 35999.0503*L35 - 0.0001559*L35^2 - 0.00000048*L35^3,360)</f>
        <v>134.058610880824</v>
      </c>
      <c r="N35" s="16" t="n">
        <f aca="false">MOD(280.46645 + 36000.76983*L35 + 0.0003032*L35^2,360)</f>
        <v>56.8477239761623</v>
      </c>
      <c r="O35" s="17" t="n">
        <f aca="false"> MOD((1.9146 - 0.004817*L35 - 0.000014*L35^2)*SIN(M35*$C$6) + (0.019993 - 0.000101*L35)*SIN(2*M35*$C$6) + 0.00029*SIN(3*M35*$C$6),360)</f>
        <v>1.35638889271527</v>
      </c>
      <c r="P35" s="16" t="n">
        <f aca="false">MOD(N35+O35,360)</f>
        <v>58.2041128688776</v>
      </c>
      <c r="Q35" s="18" t="n">
        <f aca="false">COS(P35*$C$6)</f>
        <v>0.526894786203833</v>
      </c>
      <c r="R35" s="17" t="n">
        <f aca="false">COS((23.4393-46.815*L35/3600)*$C$6)*SIN(P35*PI()/180)</f>
        <v>0.779789335893431</v>
      </c>
      <c r="S35" s="17" t="n">
        <f aca="false">SIN((23.4393-46.815*L35/3600)*$C$6)*SIN(P35*$C$6)</f>
        <v>0.338098322826509</v>
      </c>
      <c r="T35" s="18" t="n">
        <f aca="false">SQRT(1-S35^2)</f>
        <v>0.941110792681659</v>
      </c>
      <c r="U35" s="16" t="n">
        <f aca="false">ATAN(S35/T35)/$C$6</f>
        <v>19.7610559026726</v>
      </c>
      <c r="V35" s="16" t="n">
        <f aca="false">IF(2*ATAN(R35/(Q35+T35))/$C$6&gt;0, 2*ATAN(R35/(Q35+T35))/$C$6, 2*ATAN(R35/(Q35+T35))/$C$6+360)</f>
        <v>55.9535531561233</v>
      </c>
      <c r="W35" s="16" t="n">
        <f aca="false">MOD(280.46061837+360.98564736629*(K35-2451545)+0.000387933*L35^2-L35^3/3871000010 + $E$2,360)</f>
        <v>134.341873687226</v>
      </c>
      <c r="X35" s="19" t="n">
        <f aca="false">IF(W35-V35&gt;0,W35-V35,W35-V35+360)</f>
        <v>78.388320531103</v>
      </c>
      <c r="Y35" s="17" t="n">
        <f aca="false">SIN($D$2*$C$6)*SIN(U35*$C$6) +COS($D$2*$C$6)*COS(U35*$C$6)*COS(X35*$C$6)</f>
        <v>0.380758076132655</v>
      </c>
      <c r="Z35" s="31" t="n">
        <f aca="false">SIN($C$6*X35)</f>
        <v>0.979534240481086</v>
      </c>
      <c r="AA35" s="31" t="n">
        <f aca="false">COS($C$6*X35)*SIN($C$6*$D$2) - TAN($C$6*U35)*COS($C$6*$D$2)</f>
        <v>-0.0767367796267762</v>
      </c>
      <c r="AB35" s="31" t="n">
        <f aca="false">IF(OR(AND(Z35*AA35&gt;0), AND(Z35&lt;0,AA35&gt;0)), MOD(ATAN2(AA35,Z35)/$C$6+360,360),  ATAN2(AA35,Z35)/$C$6)</f>
        <v>94.4794066271309</v>
      </c>
      <c r="AC35" s="21" t="n">
        <f aca="false">(100013989+1670700*COS(3.0984635 + 6283.07585*L35/10)+13956*COS(3.05525 + 12566.1517*L35/10)+3084*COS(5.1985 + 77713.7715*L35/10) +1628*COS(1.1739 + 5753.3849*L35/10)+1576*COS(2.8469 + 7860.4194*L35/10)+925*COS(5.453 + 11506.77*L35/10)+542*COS(4.564 + 3930.21*L35/10)+472*COS(3.661 + 5884.927*L35/10)+346*COS(0.964 + 5507.553*L35/10)+329*COS(5.9 + 5223.694*L35/10)+307*COS(0.299 + 5573.143*L35/10)+243*COS(4.273 + 11790.629*L35/10)+212*COS(5.847 + 1577.344*L35/10)+186*COS(5.022 + 10977.079*L35/10)+175*COS(3.012 + 18849.228*L35/10)+110*COS(5.055 + 5486.778*L35/10)+98*COS(0.89 + 6069.78*L35/10)+86*COS(5.69 + 15720.84*L35/10)+86*COS(1.27 + 161000.69*L35/10)+65*COS(0.27 + 17260.15*L35/10)+63*COS(0.92 + 529.69*L35/10)+57*COS(2.01 + 83996.85*L35/10)+56*COS(5.24 + 71430.7*L35/10)+49*COS(3.25 + 2544.31*L35/10)+47*COS(2.58 + 775.52*L35/10)+45*COS(5.54 + 9437.76*L35/10)+43*COS(6.01 + 6275.96*L35/10)+39*COS(5.36 + 4694*L35/10)+38*COS(2.39 + 8827.39*L35/10)+37*COS(0.83 + 19651.05*L35/10)+37*COS(4.9 + 12139.55*L35/10)+36*COS(1.67 + 12036.46*L35/10)+35*COS(1.84 + 2942.46*L35/10)+33*COS(0.24 + 7084.9*L35/10)+32*COS(0.18 + 5088.63*L35/10)+32*COS(1.78 + 398.15*L35/10)+28*COS(1.21 + 6286.6*L35/10)+28*COS(1.9 + 6279.55*L35/10)+26*COS(4.59 + 10447.39*L35/10) +24.6*COS(3.787 + 8429.241*L35/10)+23.6*COS(0.269 + 796.3*L35/10)+27.8*COS(1.899 + 6279.55*L35/10)+23.9*COS(4.996 + 5856.48*L35/10)+20.3*COS(4.653 + 2146.165*L35/10))/100000000 + (103019*COS(1.10749 + 6283.07585*L35/10) +1721*COS(1.0644 + 12566.1517*L35/10) +702*COS(3.142 + 0*L35/10) +32*COS(1.02 + 18849.23*L35/10) +31*COS(2.84 + 5507.55*L35/10) +25*COS(1.32 + 5223.69*L35/10) +18*COS(1.42 + 1577.34*L35/10) +10*COS(5.91 + 10977.08*L35/10) +9*COS(1.42 + 6275.96*L35/10) +9*COS(0.27 + 5486.78*L35/10))*L35/1000000000  + (4359*COS(5.7846 + 6283.0758*L35/10)*L35^2+124*COS(5.579 + 12566.152*L35/10)*L35^2)/10000000000</f>
        <v>1.01175456717917</v>
      </c>
    </row>
    <row r="36" customFormat="false" ht="15" hidden="false" customHeight="false" outlineLevel="0" collapsed="false">
      <c r="D36" s="1"/>
      <c r="F36" s="20" t="n">
        <v>17</v>
      </c>
      <c r="G36" s="23" t="n">
        <f aca="false">ASIN(Y36)/$C$6</f>
        <v>17.6036209270505</v>
      </c>
      <c r="H36" s="23" t="n">
        <f aca="false">G36+1.02/(TAN($C$6*(G36+10.3/(G36+5.11)))*60)</f>
        <v>17.6557646922686</v>
      </c>
      <c r="I36" s="13" t="n">
        <f aca="false">IF(X36&gt;180,AB36-180,AB36+180)</f>
        <v>280.009951284624</v>
      </c>
      <c r="J36" s="13" t="n">
        <f aca="false">IF(ABS(4*(N36-0.0057183-V36))&lt;20,4*(N36-0.0057183-V36),4*(N36-0.0057183-V36-360))</f>
        <v>3.55283891926845</v>
      </c>
      <c r="K36" s="30" t="n">
        <f aca="false">INT(365.25*IF($B$2&gt;2,$C$2+4716,$C$2-1+4716))+INT(30.6001*IF($B$2&gt;2,$B$2+1,$B$2+12+1))+$A$2+F36/24+2-INT(IF($B$2&gt;2,$C$2,$C$2-1)/100)+INT(INT(IF($B$2&gt;2,$C$2,$C$2-1)/100)/4)-1524.5</f>
        <v>2448396.20833333</v>
      </c>
      <c r="L36" s="21" t="n">
        <f aca="false">(K36-2451545)/36525</f>
        <v>-0.0862092174309791</v>
      </c>
      <c r="M36" s="16" t="n">
        <f aca="false">MOD(357.5291 + 35999.0503*L36 - 0.0001559*L36^2 - 0.00000048*L36^3,360)</f>
        <v>134.079144220201</v>
      </c>
      <c r="N36" s="16" t="n">
        <f aca="false">MOD(280.46645 + 36000.76983*L36 + 0.0003032*L36^2,360)</f>
        <v>56.8682582962892</v>
      </c>
      <c r="O36" s="17" t="n">
        <f aca="false"> MOD((1.9146 - 0.004817*L36 - 0.000014*L36^2)*SIN(M36*$C$6) + (0.019993 - 0.000101*L36)*SIN(2*M36*$C$6) + 0.00029*SIN(3*M36*$C$6),360)</f>
        <v>1.35591132400837</v>
      </c>
      <c r="P36" s="16" t="n">
        <f aca="false">MOD(N36+O36,360)</f>
        <v>58.2241696202976</v>
      </c>
      <c r="Q36" s="18" t="n">
        <f aca="false">COS(P36*$C$6)</f>
        <v>0.526597230352962</v>
      </c>
      <c r="R36" s="17" t="n">
        <f aca="false">COS((23.4393-46.815*L36/3600)*$C$6)*SIN(P36*PI()/180)</f>
        <v>0.779958509729836</v>
      </c>
      <c r="S36" s="17" t="n">
        <f aca="false">SIN((23.4393-46.815*L36/3600)*$C$6)*SIN(P36*$C$6)</f>
        <v>0.338171672504664</v>
      </c>
      <c r="T36" s="18" t="n">
        <f aca="false">SQRT(1-S36^2)</f>
        <v>0.941084438249511</v>
      </c>
      <c r="U36" s="16" t="n">
        <f aca="false">ATAN(S36/T36)/$C$6</f>
        <v>19.7655215679933</v>
      </c>
      <c r="V36" s="16" t="n">
        <f aca="false">IF(2*ATAN(R36/(Q36+T36))/$C$6&gt;0, 2*ATAN(R36/(Q36+T36))/$C$6, 2*ATAN(R36/(Q36+T36))/$C$6+360)</f>
        <v>55.9743302664721</v>
      </c>
      <c r="W36" s="16" t="n">
        <f aca="false">MOD(280.46061837+360.98564736629*(K36-2451545)+0.000387933*L36^2-L36^3/3871000010 + $E$2,360)</f>
        <v>141.862408063374</v>
      </c>
      <c r="X36" s="19" t="n">
        <f aca="false">IF(W36-V36&gt;0,W36-V36,W36-V36+360)</f>
        <v>85.8880777969023</v>
      </c>
      <c r="Y36" s="17" t="n">
        <f aca="false">SIN($D$2*$C$6)*SIN(U36*$C$6) +COS($D$2*$C$6)*COS(U36*$C$6)*COS(X36*$C$6)</f>
        <v>0.302430129031594</v>
      </c>
      <c r="Z36" s="31" t="n">
        <f aca="false">SIN($C$6*X36)</f>
        <v>0.997425884027829</v>
      </c>
      <c r="AA36" s="31" t="n">
        <f aca="false">COS($C$6*X36)*SIN($C$6*$D$2) - TAN($C$6*U36)*COS($C$6*$D$2)</f>
        <v>-0.176051721788946</v>
      </c>
      <c r="AB36" s="31" t="n">
        <f aca="false">IF(OR(AND(Z36*AA36&gt;0), AND(Z36&lt;0,AA36&gt;0)), MOD(ATAN2(AA36,Z36)/$C$6+360,360),  ATAN2(AA36,Z36)/$C$6)</f>
        <v>100.009951284624</v>
      </c>
      <c r="AC36" s="21" t="n">
        <f aca="false">(100013989+1670700*COS(3.0984635 + 6283.07585*L36/10)+13956*COS(3.05525 + 12566.1517*L36/10)+3084*COS(5.1985 + 77713.7715*L36/10) +1628*COS(1.1739 + 5753.3849*L36/10)+1576*COS(2.8469 + 7860.4194*L36/10)+925*COS(5.453 + 11506.77*L36/10)+542*COS(4.564 + 3930.21*L36/10)+472*COS(3.661 + 5884.927*L36/10)+346*COS(0.964 + 5507.553*L36/10)+329*COS(5.9 + 5223.694*L36/10)+307*COS(0.299 + 5573.143*L36/10)+243*COS(4.273 + 11790.629*L36/10)+212*COS(5.847 + 1577.344*L36/10)+186*COS(5.022 + 10977.079*L36/10)+175*COS(3.012 + 18849.228*L36/10)+110*COS(5.055 + 5486.778*L36/10)+98*COS(0.89 + 6069.78*L36/10)+86*COS(5.69 + 15720.84*L36/10)+86*COS(1.27 + 161000.69*L36/10)+65*COS(0.27 + 17260.15*L36/10)+63*COS(0.92 + 529.69*L36/10)+57*COS(2.01 + 83996.85*L36/10)+56*COS(5.24 + 71430.7*L36/10)+49*COS(3.25 + 2544.31*L36/10)+47*COS(2.58 + 775.52*L36/10)+45*COS(5.54 + 9437.76*L36/10)+43*COS(6.01 + 6275.96*L36/10)+39*COS(5.36 + 4694*L36/10)+38*COS(2.39 + 8827.39*L36/10)+37*COS(0.83 + 19651.05*L36/10)+37*COS(4.9 + 12139.55*L36/10)+36*COS(1.67 + 12036.46*L36/10)+35*COS(1.84 + 2942.46*L36/10)+33*COS(0.24 + 7084.9*L36/10)+32*COS(0.18 + 5088.63*L36/10)+32*COS(1.78 + 398.15*L36/10)+28*COS(1.21 + 6286.6*L36/10)+28*COS(1.9 + 6279.55*L36/10)+26*COS(4.59 + 10447.39*L36/10) +24.6*COS(3.787 + 8429.241*L36/10)+23.6*COS(0.269 + 796.3*L36/10)+27.8*COS(1.899 + 6279.55*L36/10)+23.9*COS(4.996 + 5856.48*L36/10)+20.3*COS(4.653 + 2146.165*L36/10))/100000000 + (103019*COS(1.10749 + 6283.07585*L36/10) +1721*COS(1.0644 + 12566.1517*L36/10) +702*COS(3.142 + 0*L36/10) +32*COS(1.02 + 18849.23*L36/10) +31*COS(2.84 + 5507.55*L36/10) +25*COS(1.32 + 5223.69*L36/10) +18*COS(1.42 + 1577.34*L36/10) +10*COS(5.91 + 10977.08*L36/10) +9*COS(1.42 + 6275.96*L36/10) +9*COS(0.27 + 5486.78*L36/10))*L36/1000000000  + (4359*COS(5.7846 + 6283.0758*L36/10)*L36^2+124*COS(5.579 + 12566.152*L36/10)*L36^2)/10000000000</f>
        <v>1.01175863264069</v>
      </c>
    </row>
    <row r="37" customFormat="false" ht="15" hidden="false" customHeight="false" outlineLevel="0" collapsed="false">
      <c r="D37" s="1"/>
      <c r="F37" s="20" t="n">
        <v>17.5</v>
      </c>
      <c r="G37" s="23" t="n">
        <f aca="false">ASIN(Y37)/$C$6</f>
        <v>12.9067206698417</v>
      </c>
      <c r="H37" s="23" t="n">
        <f aca="false">G37+1.02/(TAN($C$6*(G37+10.3/(G37+5.11)))*60)</f>
        <v>12.9776484868657</v>
      </c>
      <c r="I37" s="13" t="n">
        <f aca="false">IF(X37&gt;180,AB37-180,AB37+180)</f>
        <v>285.471563320812</v>
      </c>
      <c r="J37" s="13" t="n">
        <f aca="false">IF(ABS(4*(N37-0.0057183-V37))&lt;20,4*(N37-0.0057183-V37),4*(N37-0.0057183-V37-360))</f>
        <v>3.55186379477769</v>
      </c>
      <c r="K37" s="30" t="n">
        <f aca="false">INT(365.25*IF($B$2&gt;2,$C$2+4716,$C$2-1+4716))+INT(30.6001*IF($B$2&gt;2,$B$2+1,$B$2+12+1))+$A$2+F37/24+2-INT(IF($B$2&gt;2,$C$2,$C$2-1)/100)+INT(INT(IF($B$2&gt;2,$C$2,$C$2-1)/100)/4)-1524.5</f>
        <v>2448396.22916667</v>
      </c>
      <c r="L37" s="21" t="n">
        <f aca="false">(K37-2451545)/36525</f>
        <v>-0.0862086470454069</v>
      </c>
      <c r="M37" s="16" t="n">
        <f aca="false">MOD(357.5291 + 35999.0503*L37 - 0.0001559*L37^2 - 0.00000048*L37^3,360)</f>
        <v>134.099677559118</v>
      </c>
      <c r="N37" s="16" t="n">
        <f aca="false">MOD(280.46645 + 36000.76983*L37 + 0.0003032*L37^2,360)</f>
        <v>56.8887926159564</v>
      </c>
      <c r="O37" s="17" t="n">
        <f aca="false"> MOD((1.9146 - 0.004817*L37 - 0.000014*L37^2)*SIN(M37*$C$6) + (0.019993 - 0.000101*L37)*SIN(2*M37*$C$6) + 0.00029*SIN(3*M37*$C$6),360)</f>
        <v>1.35543358867317</v>
      </c>
      <c r="P37" s="16" t="n">
        <f aca="false">MOD(N37+O37,360)</f>
        <v>58.2442262046296</v>
      </c>
      <c r="Q37" s="18" t="n">
        <f aca="false">COS(P37*$C$6)</f>
        <v>0.526299612452832</v>
      </c>
      <c r="R37" s="17" t="n">
        <f aca="false">COS((23.4393-46.815*L37/3600)*$C$6)*SIN(P37*PI()/180)</f>
        <v>0.780127586582424</v>
      </c>
      <c r="S37" s="17" t="n">
        <f aca="false">SIN((23.4393-46.815*L37/3600)*$C$6)*SIN(P37*$C$6)</f>
        <v>0.338244980132864</v>
      </c>
      <c r="T37" s="18" t="n">
        <f aca="false">SQRT(1-S37^2)</f>
        <v>0.941058092476186</v>
      </c>
      <c r="U37" s="16" t="n">
        <f aca="false">ATAN(S37/T37)/$C$6</f>
        <v>19.7699847982018</v>
      </c>
      <c r="V37" s="16" t="n">
        <f aca="false">IF(2*ATAN(R37/(Q37+T37))/$C$6&gt;0, 2*ATAN(R37/(Q37+T37))/$C$6, 2*ATAN(R37/(Q37+T37))/$C$6+360)</f>
        <v>55.995108367262</v>
      </c>
      <c r="W37" s="16" t="n">
        <f aca="false">MOD(280.46061837+360.98564736629*(K37-2451545)+0.000387933*L37^2-L37^3/3871000010 + $E$2,360)</f>
        <v>149.382942271419</v>
      </c>
      <c r="X37" s="19" t="n">
        <f aca="false">IF(W37-V37&gt;0,W37-V37,W37-V37+360)</f>
        <v>93.3878339041569</v>
      </c>
      <c r="Y37" s="17" t="n">
        <f aca="false">SIN($D$2*$C$6)*SIN(U37*$C$6) +COS($D$2*$C$6)*COS(U37*$C$6)*COS(X37*$C$6)</f>
        <v>0.223364451834726</v>
      </c>
      <c r="Z37" s="31" t="n">
        <f aca="false">SIN($C$6*X37)</f>
        <v>0.998252398441776</v>
      </c>
      <c r="AA37" s="31" t="n">
        <f aca="false">COS($C$6*X37)*SIN($C$6*$D$2) - TAN($C$6*U37)*COS($C$6*$D$2)</f>
        <v>-0.276306414083924</v>
      </c>
      <c r="AB37" s="31" t="n">
        <f aca="false">IF(OR(AND(Z37*AA37&gt;0), AND(Z37&lt;0,AA37&gt;0)), MOD(ATAN2(AA37,Z37)/$C$6+360,360),  ATAN2(AA37,Z37)/$C$6)</f>
        <v>105.471563320812</v>
      </c>
      <c r="AC37" s="21" t="n">
        <f aca="false">(100013989+1670700*COS(3.0984635 + 6283.07585*L37/10)+13956*COS(3.05525 + 12566.1517*L37/10)+3084*COS(5.1985 + 77713.7715*L37/10) +1628*COS(1.1739 + 5753.3849*L37/10)+1576*COS(2.8469 + 7860.4194*L37/10)+925*COS(5.453 + 11506.77*L37/10)+542*COS(4.564 + 3930.21*L37/10)+472*COS(3.661 + 5884.927*L37/10)+346*COS(0.964 + 5507.553*L37/10)+329*COS(5.9 + 5223.694*L37/10)+307*COS(0.299 + 5573.143*L37/10)+243*COS(4.273 + 11790.629*L37/10)+212*COS(5.847 + 1577.344*L37/10)+186*COS(5.022 + 10977.079*L37/10)+175*COS(3.012 + 18849.228*L37/10)+110*COS(5.055 + 5486.778*L37/10)+98*COS(0.89 + 6069.78*L37/10)+86*COS(5.69 + 15720.84*L37/10)+86*COS(1.27 + 161000.69*L37/10)+65*COS(0.27 + 17260.15*L37/10)+63*COS(0.92 + 529.69*L37/10)+57*COS(2.01 + 83996.85*L37/10)+56*COS(5.24 + 71430.7*L37/10)+49*COS(3.25 + 2544.31*L37/10)+47*COS(2.58 + 775.52*L37/10)+45*COS(5.54 + 9437.76*L37/10)+43*COS(6.01 + 6275.96*L37/10)+39*COS(5.36 + 4694*L37/10)+38*COS(2.39 + 8827.39*L37/10)+37*COS(0.83 + 19651.05*L37/10)+37*COS(4.9 + 12139.55*L37/10)+36*COS(1.67 + 12036.46*L37/10)+35*COS(1.84 + 2942.46*L37/10)+33*COS(0.24 + 7084.9*L37/10)+32*COS(0.18 + 5088.63*L37/10)+32*COS(1.78 + 398.15*L37/10)+28*COS(1.21 + 6286.6*L37/10)+28*COS(1.9 + 6279.55*L37/10)+26*COS(4.59 + 10447.39*L37/10) +24.6*COS(3.787 + 8429.241*L37/10)+23.6*COS(0.269 + 796.3*L37/10)+27.8*COS(1.899 + 6279.55*L37/10)+23.9*COS(4.996 + 5856.48*L37/10)+20.3*COS(4.653 + 2146.165*L37/10))/100000000 + (103019*COS(1.10749 + 6283.07585*L37/10) +1721*COS(1.0644 + 12566.1517*L37/10) +702*COS(3.142 + 0*L37/10) +32*COS(1.02 + 18849.23*L37/10) +31*COS(2.84 + 5507.55*L37/10) +25*COS(1.32 + 5223.69*L37/10) +18*COS(1.42 + 1577.34*L37/10) +10*COS(5.91 + 10977.08*L37/10) +9*COS(1.42 + 6275.96*L37/10) +9*COS(0.27 + 5486.78*L37/10))*L37/1000000000  + (4359*COS(5.7846 + 6283.0758*L37/10)*L37^2+124*COS(5.579 + 12566.152*L37/10)*L37^2)/10000000000</f>
        <v>1.01176269642544</v>
      </c>
    </row>
    <row r="38" customFormat="false" ht="15" hidden="false" customHeight="false" outlineLevel="0" collapsed="false">
      <c r="D38" s="1"/>
      <c r="F38" s="20" t="n">
        <v>18</v>
      </c>
      <c r="G38" s="23" t="n">
        <f aca="false">ASIN(Y38)/$C$6</f>
        <v>8.33234265036508</v>
      </c>
      <c r="H38" s="23" t="n">
        <f aca="false">G38+1.02/(TAN($C$6*(G38+10.3/(G38+5.11)))*60)</f>
        <v>8.43849406484674</v>
      </c>
      <c r="I38" s="13" t="n">
        <f aca="false">IF(X38&gt;180,AB38-180,AB38+180)</f>
        <v>290.940590810718</v>
      </c>
      <c r="J38" s="13" t="n">
        <f aca="false">IF(ABS(4*(N38-0.0057183-V38))&lt;20,4*(N38-0.0057183-V38),4*(N38-0.0057183-V38-360))</f>
        <v>3.55088470760299</v>
      </c>
      <c r="K38" s="30" t="n">
        <f aca="false">INT(365.25*IF($B$2&gt;2,$C$2+4716,$C$2-1+4716))+INT(30.6001*IF($B$2&gt;2,$B$2+1,$B$2+12+1))+$A$2+F38/24+2-INT(IF($B$2&gt;2,$C$2,$C$2-1)/100)+INT(INT(IF($B$2&gt;2,$C$2,$C$2-1)/100)/4)-1524.5</f>
        <v>2448396.25</v>
      </c>
      <c r="L38" s="21" t="n">
        <f aca="false">(K38-2451545)/36525</f>
        <v>-0.086208076659822</v>
      </c>
      <c r="M38" s="16" t="n">
        <f aca="false">MOD(357.5291 + 35999.0503*L38 - 0.0001559*L38^2 - 0.00000048*L38^3,360)</f>
        <v>134.120210898495</v>
      </c>
      <c r="N38" s="16" t="n">
        <f aca="false">MOD(280.46645 + 36000.76983*L38 + 0.0003032*L38^2,360)</f>
        <v>56.9093269360833</v>
      </c>
      <c r="O38" s="17" t="n">
        <f aca="false"> MOD((1.9146 - 0.004817*L38 - 0.000014*L38^2)*SIN(M38*$C$6) + (0.019993 - 0.000101*L38)*SIN(2*M38*$C$6) + 0.00029*SIN(3*M38*$C$6),360)</f>
        <v>1.3549556867496</v>
      </c>
      <c r="P38" s="16" t="n">
        <f aca="false">MOD(N38+O38,360)</f>
        <v>58.2642826228329</v>
      </c>
      <c r="Q38" s="18" t="n">
        <f aca="false">COS(P38*$C$6)</f>
        <v>0.526001932527281</v>
      </c>
      <c r="R38" s="17" t="n">
        <f aca="false">COS((23.4393-46.815*L38/3600)*$C$6)*SIN(P38*PI()/180)</f>
        <v>0.780296566440946</v>
      </c>
      <c r="S38" s="17" t="n">
        <f aca="false">SIN((23.4393-46.815*L38/3600)*$C$6)*SIN(P38*$C$6)</f>
        <v>0.338318245706665</v>
      </c>
      <c r="T38" s="18" t="n">
        <f aca="false">SQRT(1-S38^2)</f>
        <v>0.941031755373837</v>
      </c>
      <c r="U38" s="16" t="n">
        <f aca="false">ATAN(S38/T38)/$C$6</f>
        <v>19.7744455928499</v>
      </c>
      <c r="V38" s="16" t="n">
        <f aca="false">IF(2*ATAN(R38/(Q38+T38))/$C$6&gt;0, 2*ATAN(R38/(Q38+T38))/$C$6, 2*ATAN(R38/(Q38+T38))/$C$6+360)</f>
        <v>56.0158874591826</v>
      </c>
      <c r="W38" s="16" t="n">
        <f aca="false">MOD(280.46061837+360.98564736629*(K38-2451545)+0.000387933*L38^2-L38^3/3871000010 + $E$2,360)</f>
        <v>156.903476647567</v>
      </c>
      <c r="X38" s="19" t="n">
        <f aca="false">IF(W38-V38&gt;0,W38-V38,W38-V38+360)</f>
        <v>100.887589188384</v>
      </c>
      <c r="Y38" s="17" t="n">
        <f aca="false">SIN($D$2*$C$6)*SIN(U38*$C$6) +COS($D$2*$C$6)*COS(U38*$C$6)*COS(X38*$C$6)</f>
        <v>0.144914751167188</v>
      </c>
      <c r="Z38" s="31" t="n">
        <f aca="false">SIN($C$6*X38)</f>
        <v>0.981999649533713</v>
      </c>
      <c r="AA38" s="31" t="n">
        <f aca="false">COS($C$6*X38)*SIN($C$6*$D$2) - TAN($C$6*U38)*COS($C$6*$D$2)</f>
        <v>-0.375786554029305</v>
      </c>
      <c r="AB38" s="31" t="n">
        <f aca="false">IF(OR(AND(Z38*AA38&gt;0), AND(Z38&lt;0,AA38&gt;0)), MOD(ATAN2(AA38,Z38)/$C$6+360,360),  ATAN2(AA38,Z38)/$C$6)</f>
        <v>110.940590810718</v>
      </c>
      <c r="AC38" s="21" t="n">
        <f aca="false">(100013989+1670700*COS(3.0984635 + 6283.07585*L38/10)+13956*COS(3.05525 + 12566.1517*L38/10)+3084*COS(5.1985 + 77713.7715*L38/10) +1628*COS(1.1739 + 5753.3849*L38/10)+1576*COS(2.8469 + 7860.4194*L38/10)+925*COS(5.453 + 11506.77*L38/10)+542*COS(4.564 + 3930.21*L38/10)+472*COS(3.661 + 5884.927*L38/10)+346*COS(0.964 + 5507.553*L38/10)+329*COS(5.9 + 5223.694*L38/10)+307*COS(0.299 + 5573.143*L38/10)+243*COS(4.273 + 11790.629*L38/10)+212*COS(5.847 + 1577.344*L38/10)+186*COS(5.022 + 10977.079*L38/10)+175*COS(3.012 + 18849.228*L38/10)+110*COS(5.055 + 5486.778*L38/10)+98*COS(0.89 + 6069.78*L38/10)+86*COS(5.69 + 15720.84*L38/10)+86*COS(1.27 + 161000.69*L38/10)+65*COS(0.27 + 17260.15*L38/10)+63*COS(0.92 + 529.69*L38/10)+57*COS(2.01 + 83996.85*L38/10)+56*COS(5.24 + 71430.7*L38/10)+49*COS(3.25 + 2544.31*L38/10)+47*COS(2.58 + 775.52*L38/10)+45*COS(5.54 + 9437.76*L38/10)+43*COS(6.01 + 6275.96*L38/10)+39*COS(5.36 + 4694*L38/10)+38*COS(2.39 + 8827.39*L38/10)+37*COS(0.83 + 19651.05*L38/10)+37*COS(4.9 + 12139.55*L38/10)+36*COS(1.67 + 12036.46*L38/10)+35*COS(1.84 + 2942.46*L38/10)+33*COS(0.24 + 7084.9*L38/10)+32*COS(0.18 + 5088.63*L38/10)+32*COS(1.78 + 398.15*L38/10)+28*COS(1.21 + 6286.6*L38/10)+28*COS(1.9 + 6279.55*L38/10)+26*COS(4.59 + 10447.39*L38/10) +24.6*COS(3.787 + 8429.241*L38/10)+23.6*COS(0.269 + 796.3*L38/10)+27.8*COS(1.899 + 6279.55*L38/10)+23.9*COS(4.996 + 5856.48*L38/10)+20.3*COS(4.653 + 2146.165*L38/10))/100000000 + (103019*COS(1.10749 + 6283.07585*L38/10) +1721*COS(1.0644 + 12566.1517*L38/10) +702*COS(3.142 + 0*L38/10) +32*COS(1.02 + 18849.23*L38/10) +31*COS(2.84 + 5507.55*L38/10) +25*COS(1.32 + 5223.69*L38/10) +18*COS(1.42 + 1577.34*L38/10) +10*COS(5.91 + 10977.08*L38/10) +9*COS(1.42 + 6275.96*L38/10) +9*COS(0.27 + 5486.78*L38/10))*L38/1000000000  + (4359*COS(5.7846 + 6283.0758*L38/10)*L38^2+124*COS(5.579 + 12566.152*L38/10)*L38^2)/10000000000</f>
        <v>1.01176675853627</v>
      </c>
    </row>
    <row r="39" customFormat="false" ht="15" hidden="false" customHeight="false" outlineLevel="0" collapsed="false">
      <c r="D39" s="1"/>
      <c r="F39" s="20" t="n">
        <v>18.5</v>
      </c>
      <c r="G39" s="23" t="n">
        <f aca="false">ASIN(Y39)/$C$6</f>
        <v>3.92347907763717</v>
      </c>
      <c r="H39" s="23" t="n">
        <f aca="false">G39+1.02/(TAN($C$6*(G39+10.3/(G39+5.11)))*60)</f>
        <v>4.11533373606033</v>
      </c>
      <c r="I39" s="13" t="n">
        <f aca="false">IF(X39&gt;180,AB39-180,AB39+180)</f>
        <v>296.48375948879</v>
      </c>
      <c r="J39" s="13" t="n">
        <f aca="false">IF(ABS(4*(N39-0.0057183-V39))&lt;20,4*(N39-0.0057183-V39),4*(N39-0.0057183-V39-360))</f>
        <v>3.54990165873173</v>
      </c>
      <c r="K39" s="30" t="n">
        <f aca="false">INT(365.25*IF($B$2&gt;2,$C$2+4716,$C$2-1+4716))+INT(30.6001*IF($B$2&gt;2,$B$2+1,$B$2+12+1))+$A$2+F39/24+2-INT(IF($B$2&gt;2,$C$2,$C$2-1)/100)+INT(INT(IF($B$2&gt;2,$C$2,$C$2-1)/100)/4)-1524.5</f>
        <v>2448396.27083333</v>
      </c>
      <c r="L39" s="21" t="n">
        <f aca="false">(K39-2451545)/36525</f>
        <v>-0.0862075062742371</v>
      </c>
      <c r="M39" s="16" t="n">
        <f aca="false">MOD(357.5291 + 35999.0503*L39 - 0.0001559*L39^2 - 0.00000048*L39^3,360)</f>
        <v>134.140744237871</v>
      </c>
      <c r="N39" s="16" t="n">
        <f aca="false">MOD(280.46645 + 36000.76983*L39 + 0.0003032*L39^2,360)</f>
        <v>56.9298612562097</v>
      </c>
      <c r="O39" s="17" t="n">
        <f aca="false"> MOD((1.9146 - 0.004817*L39 - 0.000014*L39^2)*SIN(M39*$C$6) + (0.019993 - 0.000101*L39)*SIN(2*M39*$C$6) + 0.00029*SIN(3*M39*$C$6),360)</f>
        <v>1.35447761830969</v>
      </c>
      <c r="P39" s="16" t="n">
        <f aca="false">MOD(N39+O39,360)</f>
        <v>58.2843388745194</v>
      </c>
      <c r="Q39" s="18" t="n">
        <f aca="false">COS(P39*$C$6)</f>
        <v>0.525704190620154</v>
      </c>
      <c r="R39" s="17" t="n">
        <f aca="false">COS((23.4393-46.815*L39/3600)*$C$6)*SIN(P39*PI()/180)</f>
        <v>0.780465449283804</v>
      </c>
      <c r="S39" s="17" t="n">
        <f aca="false">SIN((23.4393-46.815*L39/3600)*$C$6)*SIN(P39*$C$6)</f>
        <v>0.338391469216703</v>
      </c>
      <c r="T39" s="18" t="n">
        <f aca="false">SQRT(1-S39^2)</f>
        <v>0.941005426956381</v>
      </c>
      <c r="U39" s="16" t="n">
        <f aca="false">ATAN(S39/T39)/$C$6</f>
        <v>19.7789039511901</v>
      </c>
      <c r="V39" s="16" t="n">
        <f aca="false">IF(2*ATAN(R39/(Q39+T39))/$C$6&gt;0, 2*ATAN(R39/(Q39+T39))/$C$6, 2*ATAN(R39/(Q39+T39))/$C$6+360)</f>
        <v>56.0366675415268</v>
      </c>
      <c r="W39" s="16" t="n">
        <f aca="false">MOD(280.46061837+360.98564736629*(K39-2451545)+0.000387933*L39^2-L39^3/3871000010 + $E$2,360)</f>
        <v>164.424011023482</v>
      </c>
      <c r="X39" s="19" t="n">
        <f aca="false">IF(W39-V39&gt;0,W39-V39,W39-V39+360)</f>
        <v>108.387343481955</v>
      </c>
      <c r="Y39" s="17" t="n">
        <f aca="false">SIN($D$2*$C$6)*SIN(U39*$C$6) +COS($D$2*$C$6)*COS(U39*$C$6)*COS(X39*$C$6)</f>
        <v>0.0684241232002377</v>
      </c>
      <c r="Z39" s="31" t="n">
        <f aca="false">SIN($C$6*X39)</f>
        <v>0.948945714706402</v>
      </c>
      <c r="AA39" s="31" t="n">
        <f aca="false">COS($C$6*X39)*SIN($C$6*$D$2) - TAN($C$6*U39)*COS($C$6*$D$2)</f>
        <v>-0.472791085022465</v>
      </c>
      <c r="AB39" s="31" t="n">
        <f aca="false">IF(OR(AND(Z39*AA39&gt;0), AND(Z39&lt;0,AA39&gt;0)), MOD(ATAN2(AA39,Z39)/$C$6+360,360),  ATAN2(AA39,Z39)/$C$6)</f>
        <v>116.48375948879</v>
      </c>
      <c r="AC39" s="21" t="n">
        <f aca="false">(100013989+1670700*COS(3.0984635 + 6283.07585*L39/10)+13956*COS(3.05525 + 12566.1517*L39/10)+3084*COS(5.1985 + 77713.7715*L39/10) +1628*COS(1.1739 + 5753.3849*L39/10)+1576*COS(2.8469 + 7860.4194*L39/10)+925*COS(5.453 + 11506.77*L39/10)+542*COS(4.564 + 3930.21*L39/10)+472*COS(3.661 + 5884.927*L39/10)+346*COS(0.964 + 5507.553*L39/10)+329*COS(5.9 + 5223.694*L39/10)+307*COS(0.299 + 5573.143*L39/10)+243*COS(4.273 + 11790.629*L39/10)+212*COS(5.847 + 1577.344*L39/10)+186*COS(5.022 + 10977.079*L39/10)+175*COS(3.012 + 18849.228*L39/10)+110*COS(5.055 + 5486.778*L39/10)+98*COS(0.89 + 6069.78*L39/10)+86*COS(5.69 + 15720.84*L39/10)+86*COS(1.27 + 161000.69*L39/10)+65*COS(0.27 + 17260.15*L39/10)+63*COS(0.92 + 529.69*L39/10)+57*COS(2.01 + 83996.85*L39/10)+56*COS(5.24 + 71430.7*L39/10)+49*COS(3.25 + 2544.31*L39/10)+47*COS(2.58 + 775.52*L39/10)+45*COS(5.54 + 9437.76*L39/10)+43*COS(6.01 + 6275.96*L39/10)+39*COS(5.36 + 4694*L39/10)+38*COS(2.39 + 8827.39*L39/10)+37*COS(0.83 + 19651.05*L39/10)+37*COS(4.9 + 12139.55*L39/10)+36*COS(1.67 + 12036.46*L39/10)+35*COS(1.84 + 2942.46*L39/10)+33*COS(0.24 + 7084.9*L39/10)+32*COS(0.18 + 5088.63*L39/10)+32*COS(1.78 + 398.15*L39/10)+28*COS(1.21 + 6286.6*L39/10)+28*COS(1.9 + 6279.55*L39/10)+26*COS(4.59 + 10447.39*L39/10) +24.6*COS(3.787 + 8429.241*L39/10)+23.6*COS(0.269 + 796.3*L39/10)+27.8*COS(1.899 + 6279.55*L39/10)+23.9*COS(4.996 + 5856.48*L39/10)+20.3*COS(4.653 + 2146.165*L39/10))/100000000 + (103019*COS(1.10749 + 6283.07585*L39/10) +1721*COS(1.0644 + 12566.1517*L39/10) +702*COS(3.142 + 0*L39/10) +32*COS(1.02 + 18849.23*L39/10) +31*COS(2.84 + 5507.55*L39/10) +25*COS(1.32 + 5223.69*L39/10) +18*COS(1.42 + 1577.34*L39/10) +10*COS(5.91 + 10977.08*L39/10) +9*COS(1.42 + 6275.96*L39/10) +9*COS(0.27 + 5486.78*L39/10))*L39/1000000000  + (4359*COS(5.7846 + 6283.0758*L39/10)*L39^2+124*COS(5.579 + 12566.152*L39/10)*L39^2)/10000000000</f>
        <v>1.01177081897578</v>
      </c>
    </row>
    <row r="40" customFormat="false" ht="15" hidden="false" customHeight="false" outlineLevel="0" collapsed="false">
      <c r="D40" s="1"/>
      <c r="F40" s="20" t="n">
        <v>19</v>
      </c>
      <c r="G40" s="23" t="n">
        <f aca="false">ASIN(Y40)/$C$6</f>
        <v>-0.274902179202031</v>
      </c>
      <c r="H40" s="23" t="n">
        <f aca="false">G40+1.02/(TAN($C$6*(G40+10.3/(G40+5.11)))*60)</f>
        <v>0.249896564871013</v>
      </c>
      <c r="I40" s="13" t="n">
        <f aca="false">IF(X40&gt;180,AB40-180,AB40+180)</f>
        <v>302.159743236247</v>
      </c>
      <c r="J40" s="13" t="n">
        <f aca="false">IF(ABS(4*(N40-0.0057183-V40))&lt;20,4*(N40-0.0057183-V40),4*(N40-0.0057183-V40-360))</f>
        <v>3.54891464915414</v>
      </c>
      <c r="K40" s="30" t="n">
        <f aca="false">INT(365.25*IF($B$2&gt;2,$C$2+4716,$C$2-1+4716))+INT(30.6001*IF($B$2&gt;2,$B$2+1,$B$2+12+1))+$A$2+F40/24+2-INT(IF($B$2&gt;2,$C$2,$C$2-1)/100)+INT(INT(IF($B$2&gt;2,$C$2,$C$2-1)/100)/4)-1524.5</f>
        <v>2448396.29166667</v>
      </c>
      <c r="L40" s="21" t="n">
        <f aca="false">(K40-2451545)/36525</f>
        <v>-0.086206935888665</v>
      </c>
      <c r="M40" s="16" t="n">
        <f aca="false">MOD(357.5291 + 35999.0503*L40 - 0.0001559*L40^2 - 0.00000048*L40^3,360)</f>
        <v>134.161277576789</v>
      </c>
      <c r="N40" s="16" t="n">
        <f aca="false">MOD(280.46645 + 36000.76983*L40 + 0.0003032*L40^2,360)</f>
        <v>56.9503955758773</v>
      </c>
      <c r="O40" s="17" t="n">
        <f aca="false"> MOD((1.9146 - 0.004817*L40 - 0.000014*L40^2)*SIN(M40*$C$6) + (0.019993 - 0.000101*L40)*SIN(2*M40*$C$6) + 0.00029*SIN(3*M40*$C$6),360)</f>
        <v>1.3539993834254</v>
      </c>
      <c r="P40" s="16" t="n">
        <f aca="false">MOD(N40+O40,360)</f>
        <v>58.3043949593027</v>
      </c>
      <c r="Q40" s="18" t="n">
        <f aca="false">COS(P40*$C$6)</f>
        <v>0.525406386775275</v>
      </c>
      <c r="R40" s="17" t="n">
        <f aca="false">COS((23.4393-46.815*L40/3600)*$C$6)*SIN(P40*PI()/180)</f>
        <v>0.780634235089435</v>
      </c>
      <c r="S40" s="17" t="n">
        <f aca="false">SIN((23.4393-46.815*L40/3600)*$C$6)*SIN(P40*$C$6)</f>
        <v>0.33846465065363</v>
      </c>
      <c r="T40" s="18" t="n">
        <f aca="false">SQRT(1-S40^2)</f>
        <v>0.940979107237731</v>
      </c>
      <c r="U40" s="16" t="n">
        <f aca="false">ATAN(S40/T40)/$C$6</f>
        <v>19.7833598724756</v>
      </c>
      <c r="V40" s="16" t="n">
        <f aca="false">IF(2*ATAN(R40/(Q40+T40))/$C$6&gt;0, 2*ATAN(R40/(Q40+T40))/$C$6, 2*ATAN(R40/(Q40+T40))/$C$6+360)</f>
        <v>56.0574486135888</v>
      </c>
      <c r="W40" s="16" t="n">
        <f aca="false">MOD(280.46061837+360.98564736629*(K40-2451545)+0.000387933*L40^2-L40^3/3871000010 + $E$2,360)</f>
        <v>171.944545231527</v>
      </c>
      <c r="X40" s="19" t="n">
        <f aca="false">IF(W40-V40&gt;0,W40-V40,W40-V40+360)</f>
        <v>115.887096617938</v>
      </c>
      <c r="Y40" s="17" t="n">
        <f aca="false">SIN($D$2*$C$6)*SIN(U40*$C$6) +COS($D$2*$C$6)*COS(U40*$C$6)*COS(X40*$C$6)</f>
        <v>-0.00479792973963134</v>
      </c>
      <c r="Z40" s="31" t="n">
        <f aca="false">SIN($C$6*X40)</f>
        <v>0.899656126745139</v>
      </c>
      <c r="AA40" s="31" t="n">
        <f aca="false">COS($C$6*X40)*SIN($C$6*$D$2) - TAN($C$6*U40)*COS($C$6*$D$2)</f>
        <v>-0.565661306911018</v>
      </c>
      <c r="AB40" s="31" t="n">
        <f aca="false">IF(OR(AND(Z40*AA40&gt;0), AND(Z40&lt;0,AA40&gt;0)), MOD(ATAN2(AA40,Z40)/$C$6+360,360),  ATAN2(AA40,Z40)/$C$6)</f>
        <v>122.159743236247</v>
      </c>
      <c r="AC40" s="21" t="n">
        <f aca="false">(100013989+1670700*COS(3.0984635 + 6283.07585*L40/10)+13956*COS(3.05525 + 12566.1517*L40/10)+3084*COS(5.1985 + 77713.7715*L40/10) +1628*COS(1.1739 + 5753.3849*L40/10)+1576*COS(2.8469 + 7860.4194*L40/10)+925*COS(5.453 + 11506.77*L40/10)+542*COS(4.564 + 3930.21*L40/10)+472*COS(3.661 + 5884.927*L40/10)+346*COS(0.964 + 5507.553*L40/10)+329*COS(5.9 + 5223.694*L40/10)+307*COS(0.299 + 5573.143*L40/10)+243*COS(4.273 + 11790.629*L40/10)+212*COS(5.847 + 1577.344*L40/10)+186*COS(5.022 + 10977.079*L40/10)+175*COS(3.012 + 18849.228*L40/10)+110*COS(5.055 + 5486.778*L40/10)+98*COS(0.89 + 6069.78*L40/10)+86*COS(5.69 + 15720.84*L40/10)+86*COS(1.27 + 161000.69*L40/10)+65*COS(0.27 + 17260.15*L40/10)+63*COS(0.92 + 529.69*L40/10)+57*COS(2.01 + 83996.85*L40/10)+56*COS(5.24 + 71430.7*L40/10)+49*COS(3.25 + 2544.31*L40/10)+47*COS(2.58 + 775.52*L40/10)+45*COS(5.54 + 9437.76*L40/10)+43*COS(6.01 + 6275.96*L40/10)+39*COS(5.36 + 4694*L40/10)+38*COS(2.39 + 8827.39*L40/10)+37*COS(0.83 + 19651.05*L40/10)+37*COS(4.9 + 12139.55*L40/10)+36*COS(1.67 + 12036.46*L40/10)+35*COS(1.84 + 2942.46*L40/10)+33*COS(0.24 + 7084.9*L40/10)+32*COS(0.18 + 5088.63*L40/10)+32*COS(1.78 + 398.15*L40/10)+28*COS(1.21 + 6286.6*L40/10)+28*COS(1.9 + 6279.55*L40/10)+26*COS(4.59 + 10447.39*L40/10) +24.6*COS(3.787 + 8429.241*L40/10)+23.6*COS(0.269 + 796.3*L40/10)+27.8*COS(1.899 + 6279.55*L40/10)+23.9*COS(4.996 + 5856.48*L40/10)+20.3*COS(4.653 + 2146.165*L40/10))/100000000 + (103019*COS(1.10749 + 6283.07585*L40/10) +1721*COS(1.0644 + 12566.1517*L40/10) +702*COS(3.142 + 0*L40/10) +32*COS(1.02 + 18849.23*L40/10) +31*COS(2.84 + 5507.55*L40/10) +25*COS(1.32 + 5223.69*L40/10) +18*COS(1.42 + 1577.34*L40/10) +10*COS(5.91 + 10977.08*L40/10) +9*COS(1.42 + 6275.96*L40/10) +9*COS(0.27 + 5486.78*L40/10))*L40/1000000000  + (4359*COS(5.7846 + 6283.0758*L40/10)*L40^2+124*COS(5.579 + 12566.152*L40/10)*L40^2)/10000000000</f>
        <v>1.01177487774656</v>
      </c>
    </row>
    <row r="41" customFormat="false" ht="15" hidden="false" customHeight="false" outlineLevel="0" collapsed="false">
      <c r="D41" s="1"/>
      <c r="F41" s="20" t="n">
        <v>19.5</v>
      </c>
      <c r="G41" s="23" t="n">
        <f aca="false">ASIN(Y41)/$C$6</f>
        <v>-4.21492041666085</v>
      </c>
      <c r="H41" s="23" t="n">
        <f aca="false">G41+1.02/(TAN($C$6*(G41+10.3/(G41+5.11)))*60)</f>
        <v>-4.08207551267565</v>
      </c>
      <c r="I41" s="13" t="n">
        <f aca="false">IF(X41&gt;180,AB41-180,AB41+180)</f>
        <v>308.01942194348</v>
      </c>
      <c r="J41" s="13" t="n">
        <f aca="false">IF(ABS(4*(N41-0.0057183-V41))&lt;20,4*(N41-0.0057183-V41),4*(N41-0.0057183-V41-360))</f>
        <v>3.5479236797967</v>
      </c>
      <c r="K41" s="30" t="n">
        <f aca="false">INT(365.25*IF($B$2&gt;2,$C$2+4716,$C$2-1+4716))+INT(30.6001*IF($B$2&gt;2,$B$2+1,$B$2+12+1))+$A$2+F41/24+2-INT(IF($B$2&gt;2,$C$2,$C$2-1)/100)+INT(INT(IF($B$2&gt;2,$C$2,$C$2-1)/100)/4)-1524.5</f>
        <v>2448396.3125</v>
      </c>
      <c r="L41" s="21" t="n">
        <f aca="false">(K41-2451545)/36525</f>
        <v>-0.0862063655030801</v>
      </c>
      <c r="M41" s="16" t="n">
        <f aca="false">MOD(357.5291 + 35999.0503*L41 - 0.0001559*L41^2 - 0.00000048*L41^3,360)</f>
        <v>134.181810916166</v>
      </c>
      <c r="N41" s="16" t="n">
        <f aca="false">MOD(280.46645 + 36000.76983*L41 + 0.0003032*L41^2,360)</f>
        <v>56.9709298960042</v>
      </c>
      <c r="O41" s="17" t="n">
        <f aca="false"> MOD((1.9146 - 0.004817*L41 - 0.000014*L41^2)*SIN(M41*$C$6) + (0.019993 - 0.000101*L41)*SIN(2*M41*$C$6) + 0.00029*SIN(3*M41*$C$6),360)</f>
        <v>1.35352098213675</v>
      </c>
      <c r="P41" s="16" t="n">
        <f aca="false">MOD(N41+O41,360)</f>
        <v>58.324450878141</v>
      </c>
      <c r="Q41" s="18" t="n">
        <f aca="false">COS(P41*$C$6)</f>
        <v>0.52510852101651</v>
      </c>
      <c r="R41" s="17" t="n">
        <f aca="false">COS((23.4393-46.815*L41/3600)*$C$6)*SIN(P41*PI()/180)</f>
        <v>0.780802923847602</v>
      </c>
      <c r="S41" s="17" t="n">
        <f aca="false">SIN((23.4393-46.815*L41/3600)*$C$6)*SIN(P41*$C$6)</f>
        <v>0.338537790013005</v>
      </c>
      <c r="T41" s="18" t="n">
        <f aca="false">SQRT(1-S41^2)</f>
        <v>0.940952796230029</v>
      </c>
      <c r="U41" s="16" t="n">
        <f aca="false">ATAN(S41/T41)/$C$6</f>
        <v>19.7878133562586</v>
      </c>
      <c r="V41" s="16" t="n">
        <f aca="false">IF(2*ATAN(R41/(Q41+T41))/$C$6&gt;0, 2*ATAN(R41/(Q41+T41))/$C$6, 2*ATAN(R41/(Q41+T41))/$C$6+360)</f>
        <v>56.0782306760551</v>
      </c>
      <c r="W41" s="16" t="n">
        <f aca="false">MOD(280.46061837+360.98564736629*(K41-2451545)+0.000387933*L41^2-L41^3/3871000010 + $E$2,360)</f>
        <v>179.465079607675</v>
      </c>
      <c r="X41" s="19" t="n">
        <f aca="false">IF(W41-V41&gt;0,W41-V41,W41-V41+360)</f>
        <v>123.38684893162</v>
      </c>
      <c r="Y41" s="17" t="n">
        <f aca="false">SIN($D$2*$C$6)*SIN(U41*$C$6) +COS($D$2*$C$6)*COS(U41*$C$6)*COS(X41*$C$6)</f>
        <v>-0.0734979056998749</v>
      </c>
      <c r="Z41" s="31" t="n">
        <f aca="false">SIN($C$6*X41)</f>
        <v>0.834974192808701</v>
      </c>
      <c r="AA41" s="31" t="n">
        <f aca="false">COS($C$6*X41)*SIN($C$6*$D$2) - TAN($C$6*U41)*COS($C$6*$D$2)</f>
        <v>-0.652809260828968</v>
      </c>
      <c r="AB41" s="31" t="n">
        <f aca="false">IF(OR(AND(Z41*AA41&gt;0), AND(Z41&lt;0,AA41&gt;0)), MOD(ATAN2(AA41,Z41)/$C$6+360,360),  ATAN2(AA41,Z41)/$C$6)</f>
        <v>128.01942194348</v>
      </c>
      <c r="AC41" s="21" t="n">
        <f aca="false">(100013989+1670700*COS(3.0984635 + 6283.07585*L41/10)+13956*COS(3.05525 + 12566.1517*L41/10)+3084*COS(5.1985 + 77713.7715*L41/10) +1628*COS(1.1739 + 5753.3849*L41/10)+1576*COS(2.8469 + 7860.4194*L41/10)+925*COS(5.453 + 11506.77*L41/10)+542*COS(4.564 + 3930.21*L41/10)+472*COS(3.661 + 5884.927*L41/10)+346*COS(0.964 + 5507.553*L41/10)+329*COS(5.9 + 5223.694*L41/10)+307*COS(0.299 + 5573.143*L41/10)+243*COS(4.273 + 11790.629*L41/10)+212*COS(5.847 + 1577.344*L41/10)+186*COS(5.022 + 10977.079*L41/10)+175*COS(3.012 + 18849.228*L41/10)+110*COS(5.055 + 5486.778*L41/10)+98*COS(0.89 + 6069.78*L41/10)+86*COS(5.69 + 15720.84*L41/10)+86*COS(1.27 + 161000.69*L41/10)+65*COS(0.27 + 17260.15*L41/10)+63*COS(0.92 + 529.69*L41/10)+57*COS(2.01 + 83996.85*L41/10)+56*COS(5.24 + 71430.7*L41/10)+49*COS(3.25 + 2544.31*L41/10)+47*COS(2.58 + 775.52*L41/10)+45*COS(5.54 + 9437.76*L41/10)+43*COS(6.01 + 6275.96*L41/10)+39*COS(5.36 + 4694*L41/10)+38*COS(2.39 + 8827.39*L41/10)+37*COS(0.83 + 19651.05*L41/10)+37*COS(4.9 + 12139.55*L41/10)+36*COS(1.67 + 12036.46*L41/10)+35*COS(1.84 + 2942.46*L41/10)+33*COS(0.24 + 7084.9*L41/10)+32*COS(0.18 + 5088.63*L41/10)+32*COS(1.78 + 398.15*L41/10)+28*COS(1.21 + 6286.6*L41/10)+28*COS(1.9 + 6279.55*L41/10)+26*COS(4.59 + 10447.39*L41/10) +24.6*COS(3.787 + 8429.241*L41/10)+23.6*COS(0.269 + 796.3*L41/10)+27.8*COS(1.899 + 6279.55*L41/10)+23.9*COS(4.996 + 5856.48*L41/10)+20.3*COS(4.653 + 2146.165*L41/10))/100000000 + (103019*COS(1.10749 + 6283.07585*L41/10) +1721*COS(1.0644 + 12566.1517*L41/10) +702*COS(3.142 + 0*L41/10) +32*COS(1.02 + 18849.23*L41/10) +31*COS(2.84 + 5507.55*L41/10) +25*COS(1.32 + 5223.69*L41/10) +18*COS(1.42 + 1577.34*L41/10) +10*COS(5.91 + 10977.08*L41/10) +9*COS(1.42 + 6275.96*L41/10) +9*COS(0.27 + 5486.78*L41/10))*L41/1000000000  + (4359*COS(5.7846 + 6283.0758*L41/10)*L41^2+124*COS(5.579 + 12566.152*L41/10)*L41^2)/10000000000</f>
        <v>1.01177893485148</v>
      </c>
    </row>
    <row r="42" customFormat="false" ht="15" hidden="false" customHeight="false" outlineLevel="0" collapsed="false">
      <c r="D42" s="1"/>
      <c r="F42" s="20" t="n">
        <v>20</v>
      </c>
      <c r="G42" s="23" t="n">
        <f aca="false">ASIN(Y42)/$C$6</f>
        <v>-7.84535128894484</v>
      </c>
      <c r="H42" s="23" t="n">
        <f aca="false">G42+1.02/(TAN($C$6*(G42+10.3/(G42+5.11)))*60)</f>
        <v>-7.9280891812933</v>
      </c>
      <c r="I42" s="13" t="n">
        <f aca="false">IF(X42&gt;180,AB42-180,AB42+180)</f>
        <v>314.104828380865</v>
      </c>
      <c r="J42" s="13" t="n">
        <f aca="false">IF(ABS(4*(N42-0.0057183-V42))&lt;20,4*(N42-0.0057183-V42),4*(N42-0.0057183-V42-360))</f>
        <v>3.54692875165478</v>
      </c>
      <c r="K42" s="30" t="n">
        <f aca="false">INT(365.25*IF($B$2&gt;2,$C$2+4716,$C$2-1+4716))+INT(30.6001*IF($B$2&gt;2,$B$2+1,$B$2+12+1))+$A$2+F42/24+2-INT(IF($B$2&gt;2,$C$2,$C$2-1)/100)+INT(INT(IF($B$2&gt;2,$C$2,$C$2-1)/100)/4)-1524.5</f>
        <v>2448396.33333333</v>
      </c>
      <c r="L42" s="21" t="n">
        <f aca="false">(K42-2451545)/36525</f>
        <v>-0.0862057951174952</v>
      </c>
      <c r="M42" s="16" t="n">
        <f aca="false">MOD(357.5291 + 35999.0503*L42 - 0.0001559*L42^2 - 0.00000048*L42^3,360)</f>
        <v>134.202344255543</v>
      </c>
      <c r="N42" s="16" t="n">
        <f aca="false">MOD(280.46645 + 36000.76983*L42 + 0.0003032*L42^2,360)</f>
        <v>56.9914642161302</v>
      </c>
      <c r="O42" s="17" t="n">
        <f aca="false"> MOD((1.9146 - 0.004817*L42 - 0.000014*L42^2)*SIN(M42*$C$6) + (0.019993 - 0.000101*L42)*SIN(2*M42*$C$6) + 0.00029*SIN(3*M42*$C$6),360)</f>
        <v>1.35304241451577</v>
      </c>
      <c r="P42" s="16" t="n">
        <f aca="false">MOD(N42+O42,360)</f>
        <v>58.344506630646</v>
      </c>
      <c r="Q42" s="18" t="n">
        <f aca="false">COS(P42*$C$6)</f>
        <v>0.524810593387723</v>
      </c>
      <c r="R42" s="17" t="n">
        <f aca="false">COS((23.4393-46.815*L42/3600)*$C$6)*SIN(P42*PI()/180)</f>
        <v>0.780971515536747</v>
      </c>
      <c r="S42" s="17" t="n">
        <f aca="false">SIN((23.4393-46.815*L42/3600)*$C$6)*SIN(P42*$C$6)</f>
        <v>0.338610887285483</v>
      </c>
      <c r="T42" s="18" t="n">
        <f aca="false">SQRT(1-S42^2)</f>
        <v>0.940926493947183</v>
      </c>
      <c r="U42" s="16" t="n">
        <f aca="false">ATAN(S42/T42)/$C$6</f>
        <v>19.7922644017924</v>
      </c>
      <c r="V42" s="16" t="n">
        <f aca="false">IF(2*ATAN(R42/(Q42+T42))/$C$6&gt;0, 2*ATAN(R42/(Q42+T42))/$C$6, 2*ATAN(R42/(Q42+T42))/$C$6+360)</f>
        <v>56.0990137282165</v>
      </c>
      <c r="W42" s="16" t="n">
        <f aca="false">MOD(280.46061837+360.98564736629*(K42-2451545)+0.000387933*L42^2-L42^3/3871000010 + $E$2,360)</f>
        <v>186.985613983823</v>
      </c>
      <c r="X42" s="19" t="n">
        <f aca="false">IF(W42-V42&gt;0,W42-V42,W42-V42+360)</f>
        <v>130.886600255606</v>
      </c>
      <c r="Y42" s="17" t="n">
        <f aca="false">SIN($D$2*$C$6)*SIN(U42*$C$6) +COS($D$2*$C$6)*COS(U42*$C$6)*COS(X42*$C$6)</f>
        <v>-0.136499735794895</v>
      </c>
      <c r="Z42" s="31" t="n">
        <f aca="false">SIN($C$6*X42)</f>
        <v>0.756006572506105</v>
      </c>
      <c r="AA42" s="31" t="n">
        <f aca="false">COS($C$6*X42)*SIN($C$6*$D$2) - TAN($C$6*U42)*COS($C$6*$D$2)</f>
        <v>-0.732744885324485</v>
      </c>
      <c r="AB42" s="31" t="n">
        <f aca="false">IF(OR(AND(Z42*AA42&gt;0), AND(Z42&lt;0,AA42&gt;0)), MOD(ATAN2(AA42,Z42)/$C$6+360,360),  ATAN2(AA42,Z42)/$C$6)</f>
        <v>134.104828380865</v>
      </c>
      <c r="AC42" s="21" t="n">
        <f aca="false">(100013989+1670700*COS(3.0984635 + 6283.07585*L42/10)+13956*COS(3.05525 + 12566.1517*L42/10)+3084*COS(5.1985 + 77713.7715*L42/10) +1628*COS(1.1739 + 5753.3849*L42/10)+1576*COS(2.8469 + 7860.4194*L42/10)+925*COS(5.453 + 11506.77*L42/10)+542*COS(4.564 + 3930.21*L42/10)+472*COS(3.661 + 5884.927*L42/10)+346*COS(0.964 + 5507.553*L42/10)+329*COS(5.9 + 5223.694*L42/10)+307*COS(0.299 + 5573.143*L42/10)+243*COS(4.273 + 11790.629*L42/10)+212*COS(5.847 + 1577.344*L42/10)+186*COS(5.022 + 10977.079*L42/10)+175*COS(3.012 + 18849.228*L42/10)+110*COS(5.055 + 5486.778*L42/10)+98*COS(0.89 + 6069.78*L42/10)+86*COS(5.69 + 15720.84*L42/10)+86*COS(1.27 + 161000.69*L42/10)+65*COS(0.27 + 17260.15*L42/10)+63*COS(0.92 + 529.69*L42/10)+57*COS(2.01 + 83996.85*L42/10)+56*COS(5.24 + 71430.7*L42/10)+49*COS(3.25 + 2544.31*L42/10)+47*COS(2.58 + 775.52*L42/10)+45*COS(5.54 + 9437.76*L42/10)+43*COS(6.01 + 6275.96*L42/10)+39*COS(5.36 + 4694*L42/10)+38*COS(2.39 + 8827.39*L42/10)+37*COS(0.83 + 19651.05*L42/10)+37*COS(4.9 + 12139.55*L42/10)+36*COS(1.67 + 12036.46*L42/10)+35*COS(1.84 + 2942.46*L42/10)+33*COS(0.24 + 7084.9*L42/10)+32*COS(0.18 + 5088.63*L42/10)+32*COS(1.78 + 398.15*L42/10)+28*COS(1.21 + 6286.6*L42/10)+28*COS(1.9 + 6279.55*L42/10)+26*COS(4.59 + 10447.39*L42/10) +24.6*COS(3.787 + 8429.241*L42/10)+23.6*COS(0.269 + 796.3*L42/10)+27.8*COS(1.899 + 6279.55*L42/10)+23.9*COS(4.996 + 5856.48*L42/10)+20.3*COS(4.653 + 2146.165*L42/10))/100000000 + (103019*COS(1.10749 + 6283.07585*L42/10) +1721*COS(1.0644 + 12566.1517*L42/10) +702*COS(3.142 + 0*L42/10) +32*COS(1.02 + 18849.23*L42/10) +31*COS(2.84 + 5507.55*L42/10) +25*COS(1.32 + 5223.69*L42/10) +18*COS(1.42 + 1577.34*L42/10) +10*COS(5.91 + 10977.08*L42/10) +9*COS(1.42 + 6275.96*L42/10) +9*COS(0.27 + 5486.78*L42/10))*L42/1000000000  + (4359*COS(5.7846 + 6283.0758*L42/10)*L42^2+124*COS(5.579 + 12566.152*L42/10)*L42^2)/10000000000</f>
        <v>1.01178299029312</v>
      </c>
    </row>
    <row r="43" customFormat="false" ht="15" hidden="false" customHeight="false" outlineLevel="0" collapsed="false">
      <c r="D43" s="1"/>
      <c r="F43" s="20" t="n">
        <v>20.5</v>
      </c>
      <c r="G43" s="23" t="n">
        <f aca="false">ASIN(Y43)/$C$6</f>
        <v>-11.1118494923178</v>
      </c>
      <c r="H43" s="23" t="n">
        <f aca="false">G43+1.02/(TAN($C$6*(G43+10.3/(G43+5.11)))*60)</f>
        <v>-11.1865064553042</v>
      </c>
      <c r="I43" s="13" t="n">
        <f aca="false">IF(X43&gt;180,AB43-180,AB43+180)</f>
        <v>320.446830886018</v>
      </c>
      <c r="J43" s="13" t="n">
        <f aca="false">IF(ABS(4*(N43-0.0057183-V43))&lt;20,4*(N43-0.0057183-V43),4*(N43-0.0057183-V43-360))</f>
        <v>3.54592986572615</v>
      </c>
      <c r="K43" s="30" t="n">
        <f aca="false">INT(365.25*IF($B$2&gt;2,$C$2+4716,$C$2-1+4716))+INT(30.6001*IF($B$2&gt;2,$B$2+1,$B$2+12+1))+$A$2+F43/24+2-INT(IF($B$2&gt;2,$C$2,$C$2-1)/100)+INT(INT(IF($B$2&gt;2,$C$2,$C$2-1)/100)/4)-1524.5</f>
        <v>2448396.35416667</v>
      </c>
      <c r="L43" s="21" t="n">
        <f aca="false">(K43-2451545)/36525</f>
        <v>-0.086205224731923</v>
      </c>
      <c r="M43" s="16" t="n">
        <f aca="false">MOD(357.5291 + 35999.0503*L43 - 0.0001559*L43^2 - 0.00000048*L43^3,360)</f>
        <v>134.22287759446</v>
      </c>
      <c r="N43" s="16" t="n">
        <f aca="false">MOD(280.46645 + 36000.76983*L43 + 0.0003032*L43^2,360)</f>
        <v>57.0119985357983</v>
      </c>
      <c r="O43" s="17" t="n">
        <f aca="false"> MOD((1.9146 - 0.004817*L43 - 0.000014*L43^2)*SIN(M43*$C$6) + (0.019993 - 0.000101*L43)*SIN(2*M43*$C$6) + 0.00029*SIN(3*M43*$C$6),360)</f>
        <v>1.35256368063456</v>
      </c>
      <c r="P43" s="16" t="n">
        <f aca="false">MOD(N43+O43,360)</f>
        <v>58.3645622164329</v>
      </c>
      <c r="Q43" s="18" t="n">
        <f aca="false">COS(P43*$C$6)</f>
        <v>0.524512603932737</v>
      </c>
      <c r="R43" s="17" t="n">
        <f aca="false">COS((23.4393-46.815*L43/3600)*$C$6)*SIN(P43*PI()/180)</f>
        <v>0.781140010135362</v>
      </c>
      <c r="S43" s="17" t="n">
        <f aca="false">SIN((23.4393-46.815*L43/3600)*$C$6)*SIN(P43*$C$6)</f>
        <v>0.338683942461739</v>
      </c>
      <c r="T43" s="18" t="n">
        <f aca="false">SQRT(1-S43^2)</f>
        <v>0.940900200403089</v>
      </c>
      <c r="U43" s="16" t="n">
        <f aca="false">ATAN(S43/T43)/$C$6</f>
        <v>19.7967130083314</v>
      </c>
      <c r="V43" s="16" t="n">
        <f aca="false">IF(2*ATAN(R43/(Q43+T43))/$C$6&gt;0, 2*ATAN(R43/(Q43+T43))/$C$6, 2*ATAN(R43/(Q43+T43))/$C$6+360)</f>
        <v>56.1197977693668</v>
      </c>
      <c r="W43" s="16" t="n">
        <f aca="false">MOD(280.46061837+360.98564736629*(K43-2451545)+0.000387933*L43^2-L43^3/3871000010 + $E$2,360)</f>
        <v>194.506148191867</v>
      </c>
      <c r="X43" s="19" t="n">
        <f aca="false">IF(W43-V43&gt;0,W43-V43,W43-V43+360)</f>
        <v>138.386350422501</v>
      </c>
      <c r="Y43" s="17" t="n">
        <f aca="false">SIN($D$2*$C$6)*SIN(U43*$C$6) +COS($D$2*$C$6)*COS(U43*$C$6)*COS(X43*$C$6)</f>
        <v>-0.192724906149033</v>
      </c>
      <c r="Z43" s="31" t="n">
        <f aca="false">SIN($C$6*X43)</f>
        <v>0.664104341801067</v>
      </c>
      <c r="AA43" s="31" t="n">
        <f aca="false">COS($C$6*X43)*SIN($C$6*$D$2) - TAN($C$6*U43)*COS($C$6*$D$2)</f>
        <v>-0.804101516849625</v>
      </c>
      <c r="AB43" s="31" t="n">
        <f aca="false">IF(OR(AND(Z43*AA43&gt;0), AND(Z43&lt;0,AA43&gt;0)), MOD(ATAN2(AA43,Z43)/$C$6+360,360),  ATAN2(AA43,Z43)/$C$6)</f>
        <v>140.446830886018</v>
      </c>
      <c r="AC43" s="21" t="n">
        <f aca="false">(100013989+1670700*COS(3.0984635 + 6283.07585*L43/10)+13956*COS(3.05525 + 12566.1517*L43/10)+3084*COS(5.1985 + 77713.7715*L43/10) +1628*COS(1.1739 + 5753.3849*L43/10)+1576*COS(2.8469 + 7860.4194*L43/10)+925*COS(5.453 + 11506.77*L43/10)+542*COS(4.564 + 3930.21*L43/10)+472*COS(3.661 + 5884.927*L43/10)+346*COS(0.964 + 5507.553*L43/10)+329*COS(5.9 + 5223.694*L43/10)+307*COS(0.299 + 5573.143*L43/10)+243*COS(4.273 + 11790.629*L43/10)+212*COS(5.847 + 1577.344*L43/10)+186*COS(5.022 + 10977.079*L43/10)+175*COS(3.012 + 18849.228*L43/10)+110*COS(5.055 + 5486.778*L43/10)+98*COS(0.89 + 6069.78*L43/10)+86*COS(5.69 + 15720.84*L43/10)+86*COS(1.27 + 161000.69*L43/10)+65*COS(0.27 + 17260.15*L43/10)+63*COS(0.92 + 529.69*L43/10)+57*COS(2.01 + 83996.85*L43/10)+56*COS(5.24 + 71430.7*L43/10)+49*COS(3.25 + 2544.31*L43/10)+47*COS(2.58 + 775.52*L43/10)+45*COS(5.54 + 9437.76*L43/10)+43*COS(6.01 + 6275.96*L43/10)+39*COS(5.36 + 4694*L43/10)+38*COS(2.39 + 8827.39*L43/10)+37*COS(0.83 + 19651.05*L43/10)+37*COS(4.9 + 12139.55*L43/10)+36*COS(1.67 + 12036.46*L43/10)+35*COS(1.84 + 2942.46*L43/10)+33*COS(0.24 + 7084.9*L43/10)+32*COS(0.18 + 5088.63*L43/10)+32*COS(1.78 + 398.15*L43/10)+28*COS(1.21 + 6286.6*L43/10)+28*COS(1.9 + 6279.55*L43/10)+26*COS(4.59 + 10447.39*L43/10) +24.6*COS(3.787 + 8429.241*L43/10)+23.6*COS(0.269 + 796.3*L43/10)+27.8*COS(1.899 + 6279.55*L43/10)+23.9*COS(4.996 + 5856.48*L43/10)+20.3*COS(4.653 + 2146.165*L43/10))/100000000 + (103019*COS(1.10749 + 6283.07585*L43/10) +1721*COS(1.0644 + 12566.1517*L43/10) +702*COS(3.142 + 0*L43/10) +32*COS(1.02 + 18849.23*L43/10) +31*COS(2.84 + 5507.55*L43/10) +25*COS(1.32 + 5223.69*L43/10) +18*COS(1.42 + 1577.34*L43/10) +10*COS(5.91 + 10977.08*L43/10) +9*COS(1.42 + 6275.96*L43/10) +9*COS(0.27 + 5486.78*L43/10))*L43/1000000000  + (4359*COS(5.7846 + 6283.0758*L43/10)*L43^2+124*COS(5.579 + 12566.152*L43/10)*L43^2)/10000000000</f>
        <v>1.0117870440741</v>
      </c>
    </row>
    <row r="44" customFormat="false" ht="15" hidden="false" customHeight="false" outlineLevel="0" collapsed="false">
      <c r="D44" s="1"/>
      <c r="F44" s="20" t="n">
        <v>21</v>
      </c>
      <c r="G44" s="23" t="n">
        <f aca="false">ASIN(Y44)/$C$6</f>
        <v>-13.9580201112776</v>
      </c>
      <c r="H44" s="23" t="n">
        <f aca="false">G44+1.02/(TAN($C$6*(G44+10.3/(G44+5.11)))*60)</f>
        <v>-14.0209283280871</v>
      </c>
      <c r="I44" s="13" t="n">
        <f aca="false">IF(X44&gt;180,AB44-180,AB44+180)</f>
        <v>327.061766433925</v>
      </c>
      <c r="J44" s="13" t="n">
        <f aca="false">IF(ABS(4*(N44-0.0057183-V44))&lt;20,4*(N44-0.0057183-V44),4*(N44-0.0057183-V44-360))</f>
        <v>3.54492702294482</v>
      </c>
      <c r="K44" s="30" t="n">
        <f aca="false">INT(365.25*IF($B$2&gt;2,$C$2+4716,$C$2-1+4716))+INT(30.6001*IF($B$2&gt;2,$B$2+1,$B$2+12+1))+$A$2+F44/24+2-INT(IF($B$2&gt;2,$C$2,$C$2-1)/100)+INT(INT(IF($B$2&gt;2,$C$2,$C$2-1)/100)/4)-1524.5</f>
        <v>2448396.375</v>
      </c>
      <c r="L44" s="21" t="n">
        <f aca="false">(K44-2451545)/36525</f>
        <v>-0.0862046543463381</v>
      </c>
      <c r="M44" s="16" t="n">
        <f aca="false">MOD(357.5291 + 35999.0503*L44 - 0.0001559*L44^2 - 0.00000048*L44^3,360)</f>
        <v>134.243410933836</v>
      </c>
      <c r="N44" s="16" t="n">
        <f aca="false">MOD(280.46645 + 36000.76983*L44 + 0.0003032*L44^2,360)</f>
        <v>57.0325328559247</v>
      </c>
      <c r="O44" s="17" t="n">
        <f aca="false"> MOD((1.9146 - 0.004817*L44 - 0.000014*L44^2)*SIN(M44*$C$6) + (0.019993 - 0.000101*L44)*SIN(2*M44*$C$6) + 0.00029*SIN(3*M44*$C$6),360)</f>
        <v>1.35208478053312</v>
      </c>
      <c r="P44" s="16" t="n">
        <f aca="false">MOD(N44+O44,360)</f>
        <v>58.3846176364578</v>
      </c>
      <c r="Q44" s="18" t="n">
        <f aca="false">COS(P44*$C$6)</f>
        <v>0.524214552675453</v>
      </c>
      <c r="R44" s="17" t="n">
        <f aca="false">COS((23.4393-46.815*L44/3600)*$C$6)*SIN(P44*PI()/180)</f>
        <v>0.781308407633216</v>
      </c>
      <c r="S44" s="17" t="n">
        <f aca="false">SIN((23.4393-46.815*L44/3600)*$C$6)*SIN(P44*$C$6)</f>
        <v>0.338756955537335</v>
      </c>
      <c r="T44" s="18" t="n">
        <f aca="false">SQRT(1-S44^2)</f>
        <v>0.940873915609885</v>
      </c>
      <c r="U44" s="16" t="n">
        <f aca="false">ATAN(S44/T44)/$C$6</f>
        <v>19.8011591754279</v>
      </c>
      <c r="V44" s="16" t="n">
        <f aca="false">IF(2*ATAN(R44/(Q44+T44))/$C$6&gt;0, 2*ATAN(R44/(Q44+T44))/$C$6, 2*ATAN(R44/(Q44+T44))/$C$6+360)</f>
        <v>56.1405828001885</v>
      </c>
      <c r="W44" s="16" t="n">
        <f aca="false">MOD(280.46061837+360.98564736629*(K44-2451545)+0.000387933*L44^2-L44^3/3871000010 + $E$2,360)</f>
        <v>202.026682568016</v>
      </c>
      <c r="X44" s="19" t="n">
        <f aca="false">IF(W44-V44&gt;0,W44-V44,W44-V44+360)</f>
        <v>145.886099767827</v>
      </c>
      <c r="Y44" s="17" t="n">
        <f aca="false">SIN($D$2*$C$6)*SIN(U44*$C$6) +COS($D$2*$C$6)*COS(U44*$C$6)*COS(X44*$C$6)</f>
        <v>-0.241210907393362</v>
      </c>
      <c r="Z44" s="31" t="n">
        <f aca="false">SIN($C$6*X44)</f>
        <v>0.560839869489427</v>
      </c>
      <c r="AA44" s="31" t="n">
        <f aca="false">COS($C$6*X44)*SIN($C$6*$D$2) - TAN($C$6*U44)*COS($C$6*$D$2)</f>
        <v>-0.865659276115782</v>
      </c>
      <c r="AB44" s="31" t="n">
        <f aca="false">IF(OR(AND(Z44*AA44&gt;0), AND(Z44&lt;0,AA44&gt;0)), MOD(ATAN2(AA44,Z44)/$C$6+360,360),  ATAN2(AA44,Z44)/$C$6)</f>
        <v>147.061766433925</v>
      </c>
      <c r="AC44" s="21" t="n">
        <f aca="false">(100013989+1670700*COS(3.0984635 + 6283.07585*L44/10)+13956*COS(3.05525 + 12566.1517*L44/10)+3084*COS(5.1985 + 77713.7715*L44/10) +1628*COS(1.1739 + 5753.3849*L44/10)+1576*COS(2.8469 + 7860.4194*L44/10)+925*COS(5.453 + 11506.77*L44/10)+542*COS(4.564 + 3930.21*L44/10)+472*COS(3.661 + 5884.927*L44/10)+346*COS(0.964 + 5507.553*L44/10)+329*COS(5.9 + 5223.694*L44/10)+307*COS(0.299 + 5573.143*L44/10)+243*COS(4.273 + 11790.629*L44/10)+212*COS(5.847 + 1577.344*L44/10)+186*COS(5.022 + 10977.079*L44/10)+175*COS(3.012 + 18849.228*L44/10)+110*COS(5.055 + 5486.778*L44/10)+98*COS(0.89 + 6069.78*L44/10)+86*COS(5.69 + 15720.84*L44/10)+86*COS(1.27 + 161000.69*L44/10)+65*COS(0.27 + 17260.15*L44/10)+63*COS(0.92 + 529.69*L44/10)+57*COS(2.01 + 83996.85*L44/10)+56*COS(5.24 + 71430.7*L44/10)+49*COS(3.25 + 2544.31*L44/10)+47*COS(2.58 + 775.52*L44/10)+45*COS(5.54 + 9437.76*L44/10)+43*COS(6.01 + 6275.96*L44/10)+39*COS(5.36 + 4694*L44/10)+38*COS(2.39 + 8827.39*L44/10)+37*COS(0.83 + 19651.05*L44/10)+37*COS(4.9 + 12139.55*L44/10)+36*COS(1.67 + 12036.46*L44/10)+35*COS(1.84 + 2942.46*L44/10)+33*COS(0.24 + 7084.9*L44/10)+32*COS(0.18 + 5088.63*L44/10)+32*COS(1.78 + 398.15*L44/10)+28*COS(1.21 + 6286.6*L44/10)+28*COS(1.9 + 6279.55*L44/10)+26*COS(4.59 + 10447.39*L44/10) +24.6*COS(3.787 + 8429.241*L44/10)+23.6*COS(0.269 + 796.3*L44/10)+27.8*COS(1.899 + 6279.55*L44/10)+23.9*COS(4.996 + 5856.48*L44/10)+20.3*COS(4.653 + 2146.165*L44/10))/100000000 + (103019*COS(1.10749 + 6283.07585*L44/10) +1721*COS(1.0644 + 12566.1517*L44/10) +702*COS(3.142 + 0*L44/10) +32*COS(1.02 + 18849.23*L44/10) +31*COS(2.84 + 5507.55*L44/10) +25*COS(1.32 + 5223.69*L44/10) +18*COS(1.42 + 1577.34*L44/10) +10*COS(5.91 + 10977.08*L44/10) +9*COS(1.42 + 6275.96*L44/10) +9*COS(0.27 + 5486.78*L44/10))*L44/1000000000  + (4359*COS(5.7846 + 6283.0758*L44/10)*L44^2+124*COS(5.579 + 12566.152*L44/10)*L44^2)/10000000000</f>
        <v>1.01179109619728</v>
      </c>
    </row>
    <row r="45" customFormat="false" ht="15" hidden="false" customHeight="false" outlineLevel="0" collapsed="false">
      <c r="D45" s="1"/>
      <c r="F45" s="20" t="n">
        <v>21.5</v>
      </c>
      <c r="G45" s="23" t="n">
        <f aca="false">ASIN(Y45)/$C$6</f>
        <v>-16.3275201608563</v>
      </c>
      <c r="H45" s="23" t="n">
        <f aca="false">G45+1.02/(TAN($C$6*(G45+10.3/(G45+5.11)))*60)</f>
        <v>-16.3822835301611</v>
      </c>
      <c r="I45" s="13" t="n">
        <f aca="false">IF(X45&gt;180,AB45-180,AB45+180)</f>
        <v>333.94757420597</v>
      </c>
      <c r="J45" s="13" t="n">
        <f aca="false">IF(ABS(4*(N45-0.0057183-V45))&lt;20,4*(N45-0.0057183-V45),4*(N45-0.0057183-V45-360))</f>
        <v>3.54392022431378</v>
      </c>
      <c r="K45" s="30" t="n">
        <f aca="false">INT(365.25*IF($B$2&gt;2,$C$2+4716,$C$2-1+4716))+INT(30.6001*IF($B$2&gt;2,$B$2+1,$B$2+12+1))+$A$2+F45/24+2-INT(IF($B$2&gt;2,$C$2,$C$2-1)/100)+INT(INT(IF($B$2&gt;2,$C$2,$C$2-1)/100)/4)-1524.5</f>
        <v>2448396.39583333</v>
      </c>
      <c r="L45" s="21" t="n">
        <f aca="false">(K45-2451545)/36525</f>
        <v>-0.0862040839607532</v>
      </c>
      <c r="M45" s="16" t="n">
        <f aca="false">MOD(357.5291 + 35999.0503*L45 - 0.0001559*L45^2 - 0.00000048*L45^3,360)</f>
        <v>134.263944273213</v>
      </c>
      <c r="N45" s="16" t="n">
        <f aca="false">MOD(280.46645 + 36000.76983*L45 + 0.0003032*L45^2,360)</f>
        <v>57.0530671760516</v>
      </c>
      <c r="O45" s="17" t="n">
        <f aca="false"> MOD((1.9146 - 0.004817*L45 - 0.000014*L45^2)*SIN(M45*$C$6) + (0.019993 - 0.000101*L45)*SIN(2*M45*$C$6) + 0.00029*SIN(3*M45*$C$6),360)</f>
        <v>1.35160571428354</v>
      </c>
      <c r="P45" s="16" t="n">
        <f aca="false">MOD(N45+O45,360)</f>
        <v>58.4046728903352</v>
      </c>
      <c r="Q45" s="18" t="n">
        <f aca="false">COS(P45*$C$6)</f>
        <v>0.523916439659718</v>
      </c>
      <c r="R45" s="17" t="n">
        <f aca="false">COS((23.4393-46.815*L45/3600)*$C$6)*SIN(P45*PI()/180)</f>
        <v>0.781476708008812</v>
      </c>
      <c r="S45" s="17" t="n">
        <f aca="false">SIN((23.4393-46.815*L45/3600)*$C$6)*SIN(P45*$C$6)</f>
        <v>0.338829926502952</v>
      </c>
      <c r="T45" s="18" t="n">
        <f aca="false">SQRT(1-S45^2)</f>
        <v>0.94084763958146</v>
      </c>
      <c r="U45" s="16" t="n">
        <f aca="false">ATAN(S45/T45)/$C$6</f>
        <v>19.8056029023366</v>
      </c>
      <c r="V45" s="16" t="n">
        <f aca="false">IF(2*ATAN(R45/(Q45+T45))/$C$6&gt;0, 2*ATAN(R45/(Q45+T45))/$C$6, 2*ATAN(R45/(Q45+T45))/$C$6+360)</f>
        <v>56.1613688199732</v>
      </c>
      <c r="W45" s="16" t="n">
        <f aca="false">MOD(280.46061837+360.98564736629*(K45-2451545)+0.000387933*L45^2-L45^3/3871000010 + $E$2,360)</f>
        <v>209.547216943931</v>
      </c>
      <c r="X45" s="19" t="n">
        <f aca="false">IF(W45-V45&gt;0,W45-V45,W45-V45+360)</f>
        <v>153.385848123958</v>
      </c>
      <c r="Y45" s="17" t="n">
        <f aca="false">SIN($D$2*$C$6)*SIN(U45*$C$6) +COS($D$2*$C$6)*COS(U45*$C$6)*COS(X45*$C$6)</f>
        <v>-0.281127687726741</v>
      </c>
      <c r="Z45" s="31" t="n">
        <f aca="false">SIN($C$6*X45)</f>
        <v>0.44797992744227</v>
      </c>
      <c r="AA45" s="31" t="n">
        <f aca="false">COS($C$6*X45)*SIN($C$6*$D$2) - TAN($C$6*U45)*COS($C$6*$D$2)</f>
        <v>-0.916365929475668</v>
      </c>
      <c r="AB45" s="31" t="n">
        <f aca="false">IF(OR(AND(Z45*AA45&gt;0), AND(Z45&lt;0,AA45&gt;0)), MOD(ATAN2(AA45,Z45)/$C$6+360,360),  ATAN2(AA45,Z45)/$C$6)</f>
        <v>153.94757420597</v>
      </c>
      <c r="AC45" s="21" t="n">
        <f aca="false">(100013989+1670700*COS(3.0984635 + 6283.07585*L45/10)+13956*COS(3.05525 + 12566.1517*L45/10)+3084*COS(5.1985 + 77713.7715*L45/10) +1628*COS(1.1739 + 5753.3849*L45/10)+1576*COS(2.8469 + 7860.4194*L45/10)+925*COS(5.453 + 11506.77*L45/10)+542*COS(4.564 + 3930.21*L45/10)+472*COS(3.661 + 5884.927*L45/10)+346*COS(0.964 + 5507.553*L45/10)+329*COS(5.9 + 5223.694*L45/10)+307*COS(0.299 + 5573.143*L45/10)+243*COS(4.273 + 11790.629*L45/10)+212*COS(5.847 + 1577.344*L45/10)+186*COS(5.022 + 10977.079*L45/10)+175*COS(3.012 + 18849.228*L45/10)+110*COS(5.055 + 5486.778*L45/10)+98*COS(0.89 + 6069.78*L45/10)+86*COS(5.69 + 15720.84*L45/10)+86*COS(1.27 + 161000.69*L45/10)+65*COS(0.27 + 17260.15*L45/10)+63*COS(0.92 + 529.69*L45/10)+57*COS(2.01 + 83996.85*L45/10)+56*COS(5.24 + 71430.7*L45/10)+49*COS(3.25 + 2544.31*L45/10)+47*COS(2.58 + 775.52*L45/10)+45*COS(5.54 + 9437.76*L45/10)+43*COS(6.01 + 6275.96*L45/10)+39*COS(5.36 + 4694*L45/10)+38*COS(2.39 + 8827.39*L45/10)+37*COS(0.83 + 19651.05*L45/10)+37*COS(4.9 + 12139.55*L45/10)+36*COS(1.67 + 12036.46*L45/10)+35*COS(1.84 + 2942.46*L45/10)+33*COS(0.24 + 7084.9*L45/10)+32*COS(0.18 + 5088.63*L45/10)+32*COS(1.78 + 398.15*L45/10)+28*COS(1.21 + 6286.6*L45/10)+28*COS(1.9 + 6279.55*L45/10)+26*COS(4.59 + 10447.39*L45/10) +24.6*COS(3.787 + 8429.241*L45/10)+23.6*COS(0.269 + 796.3*L45/10)+27.8*COS(1.899 + 6279.55*L45/10)+23.9*COS(4.996 + 5856.48*L45/10)+20.3*COS(4.653 + 2146.165*L45/10))/100000000 + (103019*COS(1.10749 + 6283.07585*L45/10) +1721*COS(1.0644 + 12566.1517*L45/10) +702*COS(3.142 + 0*L45/10) +32*COS(1.02 + 18849.23*L45/10) +31*COS(2.84 + 5507.55*L45/10) +25*COS(1.32 + 5223.69*L45/10) +18*COS(1.42 + 1577.34*L45/10) +10*COS(5.91 + 10977.08*L45/10) +9*COS(1.42 + 6275.96*L45/10) +9*COS(0.27 + 5486.78*L45/10))*L45/1000000000  + (4359*COS(5.7846 + 6283.0758*L45/10)*L45^2+124*COS(5.579 + 12566.152*L45/10)*L45^2)/10000000000</f>
        <v>1.01179514666527</v>
      </c>
    </row>
    <row r="46" customFormat="false" ht="15" hidden="false" customHeight="false" outlineLevel="0" collapsed="false">
      <c r="D46" s="1"/>
      <c r="F46" s="20" t="n">
        <v>22</v>
      </c>
      <c r="G46" s="23" t="n">
        <f aca="false">ASIN(Y46)/$C$6</f>
        <v>-18.1672489802102</v>
      </c>
      <c r="H46" s="23" t="n">
        <f aca="false">G46+1.02/(TAN($C$6*(G46+10.3/(G46+5.11)))*60)</f>
        <v>-18.2167437747798</v>
      </c>
      <c r="I46" s="13" t="n">
        <f aca="false">IF(X46&gt;180,AB46-180,AB46+180)</f>
        <v>341.080442810353</v>
      </c>
      <c r="J46" s="13" t="n">
        <f aca="false">IF(ABS(4*(N46-0.0057183-V46))&lt;20,4*(N46-0.0057183-V46),4*(N46-0.0057183-V46-360))</f>
        <v>3.54290947083911</v>
      </c>
      <c r="K46" s="30" t="n">
        <f aca="false">INT(365.25*IF($B$2&gt;2,$C$2+4716,$C$2-1+4716))+INT(30.6001*IF($B$2&gt;2,$B$2+1,$B$2+12+1))+$A$2+F46/24+2-INT(IF($B$2&gt;2,$C$2,$C$2-1)/100)+INT(INT(IF($B$2&gt;2,$C$2,$C$2-1)/100)/4)-1524.5</f>
        <v>2448396.41666667</v>
      </c>
      <c r="L46" s="21" t="n">
        <f aca="false">(K46-2451545)/36525</f>
        <v>-0.0862035135751811</v>
      </c>
      <c r="M46" s="16" t="n">
        <f aca="false">MOD(357.5291 + 35999.0503*L46 - 0.0001559*L46^2 - 0.00000048*L46^3,360)</f>
        <v>134.284477612131</v>
      </c>
      <c r="N46" s="16" t="n">
        <f aca="false">MOD(280.46645 + 36000.76983*L46 + 0.0003032*L46^2,360)</f>
        <v>57.0736014957192</v>
      </c>
      <c r="O46" s="17" t="n">
        <f aca="false"> MOD((1.9146 - 0.004817*L46 - 0.000014*L46^2)*SIN(M46*$C$6) + (0.019993 - 0.000101*L46)*SIN(2*M46*$C$6) + 0.00029*SIN(3*M46*$C$6),360)</f>
        <v>1.351126481958</v>
      </c>
      <c r="P46" s="16" t="n">
        <f aca="false">MOD(N46+O46,360)</f>
        <v>58.4247279776772</v>
      </c>
      <c r="Q46" s="18" t="n">
        <f aca="false">COS(P46*$C$6)</f>
        <v>0.523618264929415</v>
      </c>
      <c r="R46" s="17" t="n">
        <f aca="false">COS((23.4393-46.815*L46/3600)*$C$6)*SIN(P46*PI()/180)</f>
        <v>0.78164491124066</v>
      </c>
      <c r="S46" s="17" t="n">
        <f aca="false">SIN((23.4393-46.815*L46/3600)*$C$6)*SIN(P46*$C$6)</f>
        <v>0.338902855349272</v>
      </c>
      <c r="T46" s="18" t="n">
        <f aca="false">SQRT(1-S46^2)</f>
        <v>0.940821372331704</v>
      </c>
      <c r="U46" s="16" t="n">
        <f aca="false">ATAN(S46/T46)/$C$6</f>
        <v>19.8100441883124</v>
      </c>
      <c r="V46" s="16" t="n">
        <f aca="false">IF(2*ATAN(R46/(Q46+T46))/$C$6&gt;0, 2*ATAN(R46/(Q46+T46))/$C$6, 2*ATAN(R46/(Q46+T46))/$C$6+360)</f>
        <v>56.1821558280095</v>
      </c>
      <c r="W46" s="16" t="n">
        <f aca="false">MOD(280.46061837+360.98564736629*(K46-2451545)+0.000387933*L46^2-L46^3/3871000010 + $E$2,360)</f>
        <v>217.067751152208</v>
      </c>
      <c r="X46" s="19" t="n">
        <f aca="false">IF(W46-V46&gt;0,W46-V46,W46-V46+360)</f>
        <v>160.885595324199</v>
      </c>
      <c r="Y46" s="17" t="n">
        <f aca="false">SIN($D$2*$C$6)*SIN(U46*$C$6) +COS($D$2*$C$6)*COS(U46*$C$6)*COS(X46*$C$6)</f>
        <v>-0.311791851018837</v>
      </c>
      <c r="Z46" s="31" t="n">
        <f aca="false">SIN($C$6*X46)</f>
        <v>0.327455457315802</v>
      </c>
      <c r="AA46" s="31" t="n">
        <f aca="false">COS($C$6*X46)*SIN($C$6*$D$2) - TAN($C$6*U46)*COS($C$6*$D$2)</f>
        <v>-0.955354897416482</v>
      </c>
      <c r="AB46" s="31" t="n">
        <f aca="false">IF(OR(AND(Z46*AA46&gt;0), AND(Z46&lt;0,AA46&gt;0)), MOD(ATAN2(AA46,Z46)/$C$6+360,360),  ATAN2(AA46,Z46)/$C$6)</f>
        <v>161.080442810353</v>
      </c>
      <c r="AC46" s="21" t="n">
        <f aca="false">(100013989+1670700*COS(3.0984635 + 6283.07585*L46/10)+13956*COS(3.05525 + 12566.1517*L46/10)+3084*COS(5.1985 + 77713.7715*L46/10) +1628*COS(1.1739 + 5753.3849*L46/10)+1576*COS(2.8469 + 7860.4194*L46/10)+925*COS(5.453 + 11506.77*L46/10)+542*COS(4.564 + 3930.21*L46/10)+472*COS(3.661 + 5884.927*L46/10)+346*COS(0.964 + 5507.553*L46/10)+329*COS(5.9 + 5223.694*L46/10)+307*COS(0.299 + 5573.143*L46/10)+243*COS(4.273 + 11790.629*L46/10)+212*COS(5.847 + 1577.344*L46/10)+186*COS(5.022 + 10977.079*L46/10)+175*COS(3.012 + 18849.228*L46/10)+110*COS(5.055 + 5486.778*L46/10)+98*COS(0.89 + 6069.78*L46/10)+86*COS(5.69 + 15720.84*L46/10)+86*COS(1.27 + 161000.69*L46/10)+65*COS(0.27 + 17260.15*L46/10)+63*COS(0.92 + 529.69*L46/10)+57*COS(2.01 + 83996.85*L46/10)+56*COS(5.24 + 71430.7*L46/10)+49*COS(3.25 + 2544.31*L46/10)+47*COS(2.58 + 775.52*L46/10)+45*COS(5.54 + 9437.76*L46/10)+43*COS(6.01 + 6275.96*L46/10)+39*COS(5.36 + 4694*L46/10)+38*COS(2.39 + 8827.39*L46/10)+37*COS(0.83 + 19651.05*L46/10)+37*COS(4.9 + 12139.55*L46/10)+36*COS(1.67 + 12036.46*L46/10)+35*COS(1.84 + 2942.46*L46/10)+33*COS(0.24 + 7084.9*L46/10)+32*COS(0.18 + 5088.63*L46/10)+32*COS(1.78 + 398.15*L46/10)+28*COS(1.21 + 6286.6*L46/10)+28*COS(1.9 + 6279.55*L46/10)+26*COS(4.59 + 10447.39*L46/10) +24.6*COS(3.787 + 8429.241*L46/10)+23.6*COS(0.269 + 796.3*L46/10)+27.8*COS(1.899 + 6279.55*L46/10)+23.9*COS(4.996 + 5856.48*L46/10)+20.3*COS(4.653 + 2146.165*L46/10))/100000000 + (103019*COS(1.10749 + 6283.07585*L46/10) +1721*COS(1.0644 + 12566.1517*L46/10) +702*COS(3.142 + 0*L46/10) +32*COS(1.02 + 18849.23*L46/10) +31*COS(2.84 + 5507.55*L46/10) +25*COS(1.32 + 5223.69*L46/10) +18*COS(1.42 + 1577.34*L46/10) +10*COS(5.91 + 10977.08*L46/10) +9*COS(1.42 + 6275.96*L46/10) +9*COS(0.27 + 5486.78*L46/10))*L46/1000000000  + (4359*COS(5.7846 + 6283.0758*L46/10)*L46^2+124*COS(5.579 + 12566.152*L46/10)*L46^2)/10000000000</f>
        <v>1.01179919548066</v>
      </c>
    </row>
    <row r="47" customFormat="false" ht="15" hidden="false" customHeight="false" outlineLevel="0" collapsed="false">
      <c r="D47" s="1"/>
      <c r="F47" s="20" t="n">
        <v>22.5</v>
      </c>
      <c r="G47" s="23" t="n">
        <f aca="false">ASIN(Y47)/$C$6</f>
        <v>-19.4314207858817</v>
      </c>
      <c r="H47" s="23" t="n">
        <f aca="false">G47+1.02/(TAN($C$6*(G47+10.3/(G47+5.11)))*60)</f>
        <v>-19.4777485956127</v>
      </c>
      <c r="I47" s="13" t="n">
        <f aca="false">IF(X47&gt;180,AB47-180,AB47+180)</f>
        <v>348.413378272113</v>
      </c>
      <c r="J47" s="13" t="n">
        <f aca="false">IF(ABS(4*(N47-0.0057183-V47))&lt;20,4*(N47-0.0057183-V47),4*(N47-0.0057183-V47-360))</f>
        <v>3.54189476346158</v>
      </c>
      <c r="K47" s="30" t="n">
        <f aca="false">INT(365.25*IF($B$2&gt;2,$C$2+4716,$C$2-1+4716))+INT(30.6001*IF($B$2&gt;2,$B$2+1,$B$2+12+1))+$A$2+F47/24+2-INT(IF($B$2&gt;2,$C$2,$C$2-1)/100)+INT(INT(IF($B$2&gt;2,$C$2,$C$2-1)/100)/4)-1524.5</f>
        <v>2448396.4375</v>
      </c>
      <c r="L47" s="21" t="n">
        <f aca="false">(K47-2451545)/36525</f>
        <v>-0.0862029431895962</v>
      </c>
      <c r="M47" s="16" t="n">
        <f aca="false">MOD(357.5291 + 35999.0503*L47 - 0.0001559*L47^2 - 0.00000048*L47^3,360)</f>
        <v>134.305010951508</v>
      </c>
      <c r="N47" s="16" t="n">
        <f aca="false">MOD(280.46645 + 36000.76983*L47 + 0.0003032*L47^2,360)</f>
        <v>57.0941358158457</v>
      </c>
      <c r="O47" s="17" t="n">
        <f aca="false"> MOD((1.9146 - 0.004817*L47 - 0.000014*L47^2)*SIN(M47*$C$6) + (0.019993 - 0.000101*L47)*SIN(2*M47*$C$6) + 0.00029*SIN(3*M47*$C$6),360)</f>
        <v>1.35064708359651</v>
      </c>
      <c r="P47" s="16" t="n">
        <f aca="false">MOD(N47+O47,360)</f>
        <v>58.4447828994422</v>
      </c>
      <c r="Q47" s="18" t="n">
        <f aca="false">COS(P47*$C$6)</f>
        <v>0.523320028508426</v>
      </c>
      <c r="R47" s="17" t="n">
        <f aca="false">COS((23.4393-46.815*L47/3600)*$C$6)*SIN(P47*PI()/180)</f>
        <v>0.781813017318566</v>
      </c>
      <c r="S47" s="17" t="n">
        <f aca="false">SIN((23.4393-46.815*L47/3600)*$C$6)*SIN(P47*$C$6)</f>
        <v>0.338975742071876</v>
      </c>
      <c r="T47" s="18" t="n">
        <f aca="false">SQRT(1-S47^2)</f>
        <v>0.940795113872739</v>
      </c>
      <c r="U47" s="16" t="n">
        <f aca="false">ATAN(S47/T47)/$C$6</f>
        <v>19.8144830329083</v>
      </c>
      <c r="V47" s="16" t="n">
        <f aca="false">IF(2*ATAN(R47/(Q47+T47))/$C$6&gt;0, 2*ATAN(R47/(Q47+T47))/$C$6, 2*ATAN(R47/(Q47+T47))/$C$6+360)</f>
        <v>56.2029438249803</v>
      </c>
      <c r="W47" s="16" t="n">
        <f aca="false">MOD(280.46061837+360.98564736629*(K47-2451545)+0.000387933*L47^2-L47^3/3871000010 + $E$2,360)</f>
        <v>224.588285528356</v>
      </c>
      <c r="X47" s="19" t="n">
        <f aca="false">IF(W47-V47&gt;0,W47-V47,W47-V47+360)</f>
        <v>168.385341703376</v>
      </c>
      <c r="Y47" s="17" t="n">
        <f aca="false">SIN($D$2*$C$6)*SIN(U47*$C$6) +COS($D$2*$C$6)*COS(U47*$C$6)*COS(X47*$C$6)</f>
        <v>-0.332678341601416</v>
      </c>
      <c r="Z47" s="31" t="n">
        <f aca="false">SIN($C$6*X47)</f>
        <v>0.201328524724572</v>
      </c>
      <c r="AA47" s="31" t="n">
        <f aca="false">COS($C$6*X47)*SIN($C$6*$D$2) - TAN($C$6*U47)*COS($C$6*$D$2)</f>
        <v>-0.981960082305066</v>
      </c>
      <c r="AB47" s="31" t="n">
        <f aca="false">IF(OR(AND(Z47*AA47&gt;0), AND(Z47&lt;0,AA47&gt;0)), MOD(ATAN2(AA47,Z47)/$C$6+360,360),  ATAN2(AA47,Z47)/$C$6)</f>
        <v>168.413378272113</v>
      </c>
      <c r="AC47" s="21" t="n">
        <f aca="false">(100013989+1670700*COS(3.0984635 + 6283.07585*L47/10)+13956*COS(3.05525 + 12566.1517*L47/10)+3084*COS(5.1985 + 77713.7715*L47/10) +1628*COS(1.1739 + 5753.3849*L47/10)+1576*COS(2.8469 + 7860.4194*L47/10)+925*COS(5.453 + 11506.77*L47/10)+542*COS(4.564 + 3930.21*L47/10)+472*COS(3.661 + 5884.927*L47/10)+346*COS(0.964 + 5507.553*L47/10)+329*COS(5.9 + 5223.694*L47/10)+307*COS(0.299 + 5573.143*L47/10)+243*COS(4.273 + 11790.629*L47/10)+212*COS(5.847 + 1577.344*L47/10)+186*COS(5.022 + 10977.079*L47/10)+175*COS(3.012 + 18849.228*L47/10)+110*COS(5.055 + 5486.778*L47/10)+98*COS(0.89 + 6069.78*L47/10)+86*COS(5.69 + 15720.84*L47/10)+86*COS(1.27 + 161000.69*L47/10)+65*COS(0.27 + 17260.15*L47/10)+63*COS(0.92 + 529.69*L47/10)+57*COS(2.01 + 83996.85*L47/10)+56*COS(5.24 + 71430.7*L47/10)+49*COS(3.25 + 2544.31*L47/10)+47*COS(2.58 + 775.52*L47/10)+45*COS(5.54 + 9437.76*L47/10)+43*COS(6.01 + 6275.96*L47/10)+39*COS(5.36 + 4694*L47/10)+38*COS(2.39 + 8827.39*L47/10)+37*COS(0.83 + 19651.05*L47/10)+37*COS(4.9 + 12139.55*L47/10)+36*COS(1.67 + 12036.46*L47/10)+35*COS(1.84 + 2942.46*L47/10)+33*COS(0.24 + 7084.9*L47/10)+32*COS(0.18 + 5088.63*L47/10)+32*COS(1.78 + 398.15*L47/10)+28*COS(1.21 + 6286.6*L47/10)+28*COS(1.9 + 6279.55*L47/10)+26*COS(4.59 + 10447.39*L47/10) +24.6*COS(3.787 + 8429.241*L47/10)+23.6*COS(0.269 + 796.3*L47/10)+27.8*COS(1.899 + 6279.55*L47/10)+23.9*COS(4.996 + 5856.48*L47/10)+20.3*COS(4.653 + 2146.165*L47/10))/100000000 + (103019*COS(1.10749 + 6283.07585*L47/10) +1721*COS(1.0644 + 12566.1517*L47/10) +702*COS(3.142 + 0*L47/10) +32*COS(1.02 + 18849.23*L47/10) +31*COS(2.84 + 5507.55*L47/10) +25*COS(1.32 + 5223.69*L47/10) +18*COS(1.42 + 1577.34*L47/10) +10*COS(5.91 + 10977.08*L47/10) +9*COS(1.42 + 6275.96*L47/10) +9*COS(0.27 + 5486.78*L47/10))*L47/1000000000  + (4359*COS(5.7846 + 6283.0758*L47/10)*L47^2+124*COS(5.579 + 12566.152*L47/10)*L47^2)/10000000000</f>
        <v>1.01180324264635</v>
      </c>
    </row>
    <row r="48" customFormat="false" ht="15" hidden="false" customHeight="false" outlineLevel="0" collapsed="false">
      <c r="D48" s="1"/>
      <c r="F48" s="20" t="n">
        <v>23</v>
      </c>
      <c r="G48" s="23" t="n">
        <f aca="false">ASIN(Y48)/$C$6</f>
        <v>-20.0859508183882</v>
      </c>
      <c r="H48" s="23" t="n">
        <f aca="false">G48+1.02/(TAN($C$6*(G48+10.3/(G48+5.11)))*60)</f>
        <v>-20.1307655434461</v>
      </c>
      <c r="I48" s="13" t="n">
        <f aca="false">IF(X48&gt;180,AB48-180,AB48+180)</f>
        <v>355.878107002732</v>
      </c>
      <c r="J48" s="13" t="n">
        <f aca="false">IF(ABS(4*(N48-0.0057183-V48))&lt;20,4*(N48-0.0057183-V48),4*(N48-0.0057183-V48-360))</f>
        <v>3.54087610319223</v>
      </c>
      <c r="K48" s="30" t="n">
        <f aca="false">INT(365.25*IF($B$2&gt;2,$C$2+4716,$C$2-1+4716))+INT(30.6001*IF($B$2&gt;2,$B$2+1,$B$2+12+1))+$A$2+F48/24+2-INT(IF($B$2&gt;2,$C$2,$C$2-1)/100)+INT(INT(IF($B$2&gt;2,$C$2,$C$2-1)/100)/4)-1524.5</f>
        <v>2448396.45833333</v>
      </c>
      <c r="L48" s="21" t="n">
        <f aca="false">(K48-2451545)/36525</f>
        <v>-0.0862023728040113</v>
      </c>
      <c r="M48" s="16" t="n">
        <f aca="false">MOD(357.5291 + 35999.0503*L48 - 0.0001559*L48^2 - 0.00000048*L48^3,360)</f>
        <v>134.325544290885</v>
      </c>
      <c r="N48" s="16" t="n">
        <f aca="false">MOD(280.46645 + 36000.76983*L48 + 0.0003032*L48^2,360)</f>
        <v>57.1146701359726</v>
      </c>
      <c r="O48" s="17" t="n">
        <f aca="false"> MOD((1.9146 - 0.004817*L48 - 0.000014*L48^2)*SIN(M48*$C$6) + (0.019993 - 0.000101*L48)*SIN(2*M48*$C$6) + 0.00029*SIN(3*M48*$C$6),360)</f>
        <v>1.35016751927127</v>
      </c>
      <c r="P48" s="16" t="n">
        <f aca="false">MOD(N48+O48,360)</f>
        <v>58.4648376552438</v>
      </c>
      <c r="Q48" s="18" t="n">
        <f aca="false">COS(P48*$C$6)</f>
        <v>0.523021730440624</v>
      </c>
      <c r="R48" s="17" t="n">
        <f aca="false">COS((23.4393-46.815*L48/3600)*$C$6)*SIN(P48*PI()/180)</f>
        <v>0.781981026221073</v>
      </c>
      <c r="S48" s="17" t="n">
        <f aca="false">SIN((23.4393-46.815*L48/3600)*$C$6)*SIN(P48*$C$6)</f>
        <v>0.33904858666146</v>
      </c>
      <c r="T48" s="18" t="n">
        <f aca="false">SQRT(1-S48^2)</f>
        <v>0.940768864218447</v>
      </c>
      <c r="U48" s="16" t="n">
        <f aca="false">ATAN(S48/T48)/$C$6</f>
        <v>19.8189194353798</v>
      </c>
      <c r="V48" s="16" t="n">
        <f aca="false">IF(2*ATAN(R48/(Q48+T48))/$C$6&gt;0, 2*ATAN(R48/(Q48+T48))/$C$6, 2*ATAN(R48/(Q48+T48))/$C$6+360)</f>
        <v>56.2237328101745</v>
      </c>
      <c r="W48" s="16" t="n">
        <f aca="false">MOD(280.46061837+360.98564736629*(K48-2451545)+0.000387933*L48^2-L48^3/3871000010 + $E$2,360)</f>
        <v>232.108819904504</v>
      </c>
      <c r="X48" s="19" t="n">
        <f aca="false">IF(W48-V48&gt;0,W48-V48,W48-V48+360)</f>
        <v>175.88508709433</v>
      </c>
      <c r="Y48" s="17" t="n">
        <f aca="false">SIN($D$2*$C$6)*SIN(U48*$C$6) +COS($D$2*$C$6)*COS(U48*$C$6)*COS(X48*$C$6)</f>
        <v>-0.343429414142299</v>
      </c>
      <c r="Z48" s="31" t="n">
        <f aca="false">SIN($C$6*X48)</f>
        <v>0.0717570551016893</v>
      </c>
      <c r="AA48" s="31" t="n">
        <f aca="false">COS($C$6*X48)*SIN($C$6*$D$2) - TAN($C$6*U48)*COS($C$6*$D$2)</f>
        <v>-0.995727259338459</v>
      </c>
      <c r="AB48" s="31" t="n">
        <f aca="false">IF(OR(AND(Z48*AA48&gt;0), AND(Z48&lt;0,AA48&gt;0)), MOD(ATAN2(AA48,Z48)/$C$6+360,360),  ATAN2(AA48,Z48)/$C$6)</f>
        <v>175.878107002732</v>
      </c>
      <c r="AC48" s="21" t="n">
        <f aca="false">(100013989+1670700*COS(3.0984635 + 6283.07585*L48/10)+13956*COS(3.05525 + 12566.1517*L48/10)+3084*COS(5.1985 + 77713.7715*L48/10) +1628*COS(1.1739 + 5753.3849*L48/10)+1576*COS(2.8469 + 7860.4194*L48/10)+925*COS(5.453 + 11506.77*L48/10)+542*COS(4.564 + 3930.21*L48/10)+472*COS(3.661 + 5884.927*L48/10)+346*COS(0.964 + 5507.553*L48/10)+329*COS(5.9 + 5223.694*L48/10)+307*COS(0.299 + 5573.143*L48/10)+243*COS(4.273 + 11790.629*L48/10)+212*COS(5.847 + 1577.344*L48/10)+186*COS(5.022 + 10977.079*L48/10)+175*COS(3.012 + 18849.228*L48/10)+110*COS(5.055 + 5486.778*L48/10)+98*COS(0.89 + 6069.78*L48/10)+86*COS(5.69 + 15720.84*L48/10)+86*COS(1.27 + 161000.69*L48/10)+65*COS(0.27 + 17260.15*L48/10)+63*COS(0.92 + 529.69*L48/10)+57*COS(2.01 + 83996.85*L48/10)+56*COS(5.24 + 71430.7*L48/10)+49*COS(3.25 + 2544.31*L48/10)+47*COS(2.58 + 775.52*L48/10)+45*COS(5.54 + 9437.76*L48/10)+43*COS(6.01 + 6275.96*L48/10)+39*COS(5.36 + 4694*L48/10)+38*COS(2.39 + 8827.39*L48/10)+37*COS(0.83 + 19651.05*L48/10)+37*COS(4.9 + 12139.55*L48/10)+36*COS(1.67 + 12036.46*L48/10)+35*COS(1.84 + 2942.46*L48/10)+33*COS(0.24 + 7084.9*L48/10)+32*COS(0.18 + 5088.63*L48/10)+32*COS(1.78 + 398.15*L48/10)+28*COS(1.21 + 6286.6*L48/10)+28*COS(1.9 + 6279.55*L48/10)+26*COS(4.59 + 10447.39*L48/10) +24.6*COS(3.787 + 8429.241*L48/10)+23.6*COS(0.269 + 796.3*L48/10)+27.8*COS(1.899 + 6279.55*L48/10)+23.9*COS(4.996 + 5856.48*L48/10)+20.3*COS(4.653 + 2146.165*L48/10))/100000000 + (103019*COS(1.10749 + 6283.07585*L48/10) +1721*COS(1.0644 + 12566.1517*L48/10) +702*COS(3.142 + 0*L48/10) +32*COS(1.02 + 18849.23*L48/10) +31*COS(2.84 + 5507.55*L48/10) +25*COS(1.32 + 5223.69*L48/10) +18*COS(1.42 + 1577.34*L48/10) +10*COS(5.91 + 10977.08*L48/10) +9*COS(1.42 + 6275.96*L48/10) +9*COS(0.27 + 5486.78*L48/10))*L48/1000000000  + (4359*COS(5.7846 + 6283.0758*L48/10)*L48^2+124*COS(5.579 + 12566.152*L48/10)*L48^2)/10000000000</f>
        <v>1.01180728816492</v>
      </c>
    </row>
    <row r="49" customFormat="false" ht="15" hidden="false" customHeight="false" outlineLevel="0" collapsed="false">
      <c r="D49" s="1"/>
      <c r="F49" s="20" t="n">
        <v>23.5</v>
      </c>
      <c r="G49" s="23" t="n">
        <f aca="false">ASIN(Y49)/$C$6</f>
        <v>-20.1122670830858</v>
      </c>
      <c r="H49" s="23" t="n">
        <f aca="false">G49+1.02/(TAN($C$6*(G49+10.3/(G49+5.11)))*60)</f>
        <v>-20.1570226520525</v>
      </c>
      <c r="I49" s="13" t="n">
        <f aca="false">IF(X49&gt;180,AB49-180,AB49+180)</f>
        <v>3.39104566496903</v>
      </c>
      <c r="J49" s="13" t="n">
        <f aca="false">IF(ABS(4*(N49-0.0057183-V49))&lt;20,4*(N49-0.0057183-V49),4*(N49-0.0057183-V49-360))</f>
        <v>3.53985349104508</v>
      </c>
      <c r="K49" s="30" t="n">
        <f aca="false">INT(365.25*IF($B$2&gt;2,$C$2+4716,$C$2-1+4716))+INT(30.6001*IF($B$2&gt;2,$B$2+1,$B$2+12+1))+$A$2+F49/24+2-INT(IF($B$2&gt;2,$C$2,$C$2-1)/100)+INT(INT(IF($B$2&gt;2,$C$2,$C$2-1)/100)/4)-1524.5</f>
        <v>2448396.47916667</v>
      </c>
      <c r="L49" s="21" t="n">
        <f aca="false">(K49-2451545)/36525</f>
        <v>-0.0862018024184391</v>
      </c>
      <c r="M49" s="16" t="n">
        <f aca="false">MOD(357.5291 + 35999.0503*L49 - 0.0001559*L49^2 - 0.00000048*L49^3,360)</f>
        <v>134.346077629802</v>
      </c>
      <c r="N49" s="16" t="n">
        <f aca="false">MOD(280.46645 + 36000.76983*L49 + 0.0003032*L49^2,360)</f>
        <v>57.1352044556397</v>
      </c>
      <c r="O49" s="17" t="n">
        <f aca="false"> MOD((1.9146 - 0.004817*L49 - 0.000014*L49^2)*SIN(M49*$C$6) + (0.019993 - 0.000101*L49)*SIN(2*M49*$C$6) + 0.00029*SIN(3*M49*$C$6),360)</f>
        <v>1.34968778905449</v>
      </c>
      <c r="P49" s="16" t="n">
        <f aca="false">MOD(N49+O49,360)</f>
        <v>58.4848922446942</v>
      </c>
      <c r="Q49" s="18" t="n">
        <f aca="false">COS(P49*$C$6)</f>
        <v>0.522723370769917</v>
      </c>
      <c r="R49" s="17" t="n">
        <f aca="false">COS((23.4393-46.815*L49/3600)*$C$6)*SIN(P49*PI()/180)</f>
        <v>0.782148937926727</v>
      </c>
      <c r="S49" s="17" t="n">
        <f aca="false">SIN((23.4393-46.815*L49/3600)*$C$6)*SIN(P49*$C$6)</f>
        <v>0.339121389108722</v>
      </c>
      <c r="T49" s="18" t="n">
        <f aca="false">SQRT(1-S49^2)</f>
        <v>0.940742623382704</v>
      </c>
      <c r="U49" s="16" t="n">
        <f aca="false">ATAN(S49/T49)/$C$6</f>
        <v>19.8233533949828</v>
      </c>
      <c r="V49" s="16" t="n">
        <f aca="false">IF(2*ATAN(R49/(Q49+T49))/$C$6&gt;0, 2*ATAN(R49/(Q49+T49))/$C$6, 2*ATAN(R49/(Q49+T49))/$C$6+360)</f>
        <v>56.2445227828785</v>
      </c>
      <c r="W49" s="16" t="n">
        <f aca="false">MOD(280.46061837+360.98564736629*(K49-2451545)+0.000387933*L49^2-L49^3/3871000010 + $E$2,360)</f>
        <v>239.629354112549</v>
      </c>
      <c r="X49" s="19" t="n">
        <f aca="false">IF(W49-V49&gt;0,W49-V49,W49-V49+360)</f>
        <v>183.38483132967</v>
      </c>
      <c r="Y49" s="17" t="n">
        <f aca="false">SIN($D$2*$C$6)*SIN(U49*$C$6) +COS($D$2*$C$6)*COS(U49*$C$6)*COS(X49*$C$6)</f>
        <v>-0.343860747716104</v>
      </c>
      <c r="Z49" s="31" t="n">
        <f aca="false">SIN($C$6*X49)</f>
        <v>-0.0590420942539442</v>
      </c>
      <c r="AA49" s="31" t="n">
        <f aca="false">COS($C$6*X49)*SIN($C$6*$D$2) - TAN($C$6*U49)*COS($C$6*$D$2)</f>
        <v>-0.996421851607657</v>
      </c>
      <c r="AB49" s="31" t="n">
        <f aca="false">IF(OR(AND(Z49*AA49&gt;0), AND(Z49&lt;0,AA49&gt;0)), MOD(ATAN2(AA49,Z49)/$C$6+360,360),  ATAN2(AA49,Z49)/$C$6)</f>
        <v>183.391045664969</v>
      </c>
      <c r="AC49" s="21" t="n">
        <f aca="false">(100013989+1670700*COS(3.0984635 + 6283.07585*L49/10)+13956*COS(3.05525 + 12566.1517*L49/10)+3084*COS(5.1985 + 77713.7715*L49/10) +1628*COS(1.1739 + 5753.3849*L49/10)+1576*COS(2.8469 + 7860.4194*L49/10)+925*COS(5.453 + 11506.77*L49/10)+542*COS(4.564 + 3930.21*L49/10)+472*COS(3.661 + 5884.927*L49/10)+346*COS(0.964 + 5507.553*L49/10)+329*COS(5.9 + 5223.694*L49/10)+307*COS(0.299 + 5573.143*L49/10)+243*COS(4.273 + 11790.629*L49/10)+212*COS(5.847 + 1577.344*L49/10)+186*COS(5.022 + 10977.079*L49/10)+175*COS(3.012 + 18849.228*L49/10)+110*COS(5.055 + 5486.778*L49/10)+98*COS(0.89 + 6069.78*L49/10)+86*COS(5.69 + 15720.84*L49/10)+86*COS(1.27 + 161000.69*L49/10)+65*COS(0.27 + 17260.15*L49/10)+63*COS(0.92 + 529.69*L49/10)+57*COS(2.01 + 83996.85*L49/10)+56*COS(5.24 + 71430.7*L49/10)+49*COS(3.25 + 2544.31*L49/10)+47*COS(2.58 + 775.52*L49/10)+45*COS(5.54 + 9437.76*L49/10)+43*COS(6.01 + 6275.96*L49/10)+39*COS(5.36 + 4694*L49/10)+38*COS(2.39 + 8827.39*L49/10)+37*COS(0.83 + 19651.05*L49/10)+37*COS(4.9 + 12139.55*L49/10)+36*COS(1.67 + 12036.46*L49/10)+35*COS(1.84 + 2942.46*L49/10)+33*COS(0.24 + 7084.9*L49/10)+32*COS(0.18 + 5088.63*L49/10)+32*COS(1.78 + 398.15*L49/10)+28*COS(1.21 + 6286.6*L49/10)+28*COS(1.9 + 6279.55*L49/10)+26*COS(4.59 + 10447.39*L49/10) +24.6*COS(3.787 + 8429.241*L49/10)+23.6*COS(0.269 + 796.3*L49/10)+27.8*COS(1.899 + 6279.55*L49/10)+23.9*COS(4.996 + 5856.48*L49/10)+20.3*COS(4.653 + 2146.165*L49/10))/100000000 + (103019*COS(1.10749 + 6283.07585*L49/10) +1721*COS(1.0644 + 12566.1517*L49/10) +702*COS(3.142 + 0*L49/10) +32*COS(1.02 + 18849.23*L49/10) +31*COS(2.84 + 5507.55*L49/10) +25*COS(1.32 + 5223.69*L49/10) +18*COS(1.42 + 1577.34*L49/10) +10*COS(5.91 + 10977.08*L49/10) +9*COS(1.42 + 6275.96*L49/10) +9*COS(0.27 + 5486.78*L49/10))*L49/1000000000  + (4359*COS(5.7846 + 6283.0758*L49/10)*L49^2+124*COS(5.579 + 12566.152*L49/10)*L49^2)/10000000000</f>
        <v>1.01181133203899</v>
      </c>
    </row>
    <row r="50" customFormat="false" ht="15" hidden="false" customHeight="false" outlineLevel="0" collapsed="false">
      <c r="D50" s="1"/>
      <c r="F50" s="20" t="n">
        <v>24</v>
      </c>
      <c r="G50" s="23" t="n">
        <f aca="false">ASIN(Y50)/$C$6</f>
        <v>-19.5095874055386</v>
      </c>
      <c r="H50" s="23" t="n">
        <f aca="false">G50+1.02/(TAN($C$6*(G50+10.3/(G50+5.11)))*60)</f>
        <v>-19.5557301975193</v>
      </c>
      <c r="I50" s="13" t="n">
        <f aca="false">IF(X50&gt;180,AB50-180,AB50+180)</f>
        <v>10.8627270114851</v>
      </c>
      <c r="J50" s="13" t="n">
        <f aca="false">IF(ABS(4*(N50-0.0057183-V50))&lt;20,4*(N50-0.0057183-V50),4*(N50-0.0057183-V50-360))</f>
        <v>3.5388269279679</v>
      </c>
      <c r="K50" s="30" t="n">
        <f aca="false">INT(365.25*IF($B$2&gt;2,$C$2+4716,$C$2-1+4716))+INT(30.6001*IF($B$2&gt;2,$B$2+1,$B$2+12+1))+$A$2+F50/24+2-INT(IF($B$2&gt;2,$C$2,$C$2-1)/100)+INT(INT(IF($B$2&gt;2,$C$2,$C$2-1)/100)/4)-1524.5</f>
        <v>2448396.5</v>
      </c>
      <c r="L50" s="21" t="n">
        <f aca="false">(K50-2451545)/36525</f>
        <v>-0.0862012320328542</v>
      </c>
      <c r="M50" s="16" t="n">
        <f aca="false">MOD(357.5291 + 35999.0503*L50 - 0.0001559*L50^2 - 0.00000048*L50^3,360)</f>
        <v>134.366610969179</v>
      </c>
      <c r="N50" s="16" t="n">
        <f aca="false">MOD(280.46645 + 36000.76983*L50 + 0.0003032*L50^2,360)</f>
        <v>57.1557387757666</v>
      </c>
      <c r="O50" s="17" t="n">
        <f aca="false"> MOD((1.9146 - 0.004817*L50 - 0.000014*L50^2)*SIN(M50*$C$6) + (0.019993 - 0.000101*L50)*SIN(2*M50*$C$6) + 0.00029*SIN(3*M50*$C$6),360)</f>
        <v>1.34920789298624</v>
      </c>
      <c r="P50" s="16" t="n">
        <f aca="false">MOD(N50+O50,360)</f>
        <v>58.5049466687529</v>
      </c>
      <c r="Q50" s="18" t="n">
        <f aca="false">COS(P50*$C$6)</f>
        <v>0.522424949520173</v>
      </c>
      <c r="R50" s="17" t="n">
        <f aca="false">COS((23.4393-46.815*L50/3600)*$C$6)*SIN(P50*PI()/180)</f>
        <v>0.782316752425368</v>
      </c>
      <c r="S50" s="17" t="n">
        <f aca="false">SIN((23.4393-46.815*L50/3600)*$C$6)*SIN(P50*$C$6)</f>
        <v>0.339194149409257</v>
      </c>
      <c r="T50" s="18" t="n">
        <f aca="false">SQRT(1-S50^2)</f>
        <v>0.94071639137762</v>
      </c>
      <c r="U50" s="16" t="n">
        <f aca="false">ATAN(S50/T50)/$C$6</f>
        <v>19.8277849112709</v>
      </c>
      <c r="V50" s="16" t="n">
        <f aca="false">IF(2*ATAN(R50/(Q50+T50))/$C$6&gt;0, 2*ATAN(R50/(Q50+T50))/$C$6, 2*ATAN(R50/(Q50+T50))/$C$6+360)</f>
        <v>56.2653137437747</v>
      </c>
      <c r="W50" s="16" t="n">
        <f aca="false">MOD(280.46061837+360.98564736629*(K50-2451545)+0.000387933*L50^2-L50^3/3871000010 + $E$2,360)</f>
        <v>247.149888488697</v>
      </c>
      <c r="X50" s="19" t="n">
        <f aca="false">IF(W50-V50&gt;0,W50-V50,W50-V50+360)</f>
        <v>190.884574744922</v>
      </c>
      <c r="Y50" s="17" t="n">
        <f aca="false">SIN($D$2*$C$6)*SIN(U50*$C$6) +COS($D$2*$C$6)*COS(U50*$C$6)*COS(X50*$C$6)</f>
        <v>-0.333964588450963</v>
      </c>
      <c r="Z50" s="31" t="n">
        <f aca="false">SIN($C$6*X50)</f>
        <v>-0.188831071753413</v>
      </c>
      <c r="AA50" s="31" t="n">
        <f aca="false">COS($C$6*X50)*SIN($C$6*$D$2) - TAN($C$6*U50)*COS($C$6*$D$2)</f>
        <v>-0.984032942062049</v>
      </c>
      <c r="AB50" s="31" t="n">
        <f aca="false">IF(OR(AND(Z50*AA50&gt;0), AND(Z50&lt;0,AA50&gt;0)), MOD(ATAN2(AA50,Z50)/$C$6+360,360),  ATAN2(AA50,Z50)/$C$6)</f>
        <v>190.862727011485</v>
      </c>
      <c r="AC50" s="21" t="n">
        <f aca="false">(100013989+1670700*COS(3.0984635 + 6283.07585*L50/10)+13956*COS(3.05525 + 12566.1517*L50/10)+3084*COS(5.1985 + 77713.7715*L50/10) +1628*COS(1.1739 + 5753.3849*L50/10)+1576*COS(2.8469 + 7860.4194*L50/10)+925*COS(5.453 + 11506.77*L50/10)+542*COS(4.564 + 3930.21*L50/10)+472*COS(3.661 + 5884.927*L50/10)+346*COS(0.964 + 5507.553*L50/10)+329*COS(5.9 + 5223.694*L50/10)+307*COS(0.299 + 5573.143*L50/10)+243*COS(4.273 + 11790.629*L50/10)+212*COS(5.847 + 1577.344*L50/10)+186*COS(5.022 + 10977.079*L50/10)+175*COS(3.012 + 18849.228*L50/10)+110*COS(5.055 + 5486.778*L50/10)+98*COS(0.89 + 6069.78*L50/10)+86*COS(5.69 + 15720.84*L50/10)+86*COS(1.27 + 161000.69*L50/10)+65*COS(0.27 + 17260.15*L50/10)+63*COS(0.92 + 529.69*L50/10)+57*COS(2.01 + 83996.85*L50/10)+56*COS(5.24 + 71430.7*L50/10)+49*COS(3.25 + 2544.31*L50/10)+47*COS(2.58 + 775.52*L50/10)+45*COS(5.54 + 9437.76*L50/10)+43*COS(6.01 + 6275.96*L50/10)+39*COS(5.36 + 4694*L50/10)+38*COS(2.39 + 8827.39*L50/10)+37*COS(0.83 + 19651.05*L50/10)+37*COS(4.9 + 12139.55*L50/10)+36*COS(1.67 + 12036.46*L50/10)+35*COS(1.84 + 2942.46*L50/10)+33*COS(0.24 + 7084.9*L50/10)+32*COS(0.18 + 5088.63*L50/10)+32*COS(1.78 + 398.15*L50/10)+28*COS(1.21 + 6286.6*L50/10)+28*COS(1.9 + 6279.55*L50/10)+26*COS(4.59 + 10447.39*L50/10) +24.6*COS(3.787 + 8429.241*L50/10)+23.6*COS(0.269 + 796.3*L50/10)+27.8*COS(1.899 + 6279.55*L50/10)+23.9*COS(4.996 + 5856.48*L50/10)+20.3*COS(4.653 + 2146.165*L50/10))/100000000 + (103019*COS(1.10749 + 6283.07585*L50/10) +1721*COS(1.0644 + 12566.1517*L50/10) +702*COS(3.142 + 0*L50/10) +32*COS(1.02 + 18849.23*L50/10) +31*COS(2.84 + 5507.55*L50/10) +25*COS(1.32 + 5223.69*L50/10) +18*COS(1.42 + 1577.34*L50/10) +10*COS(5.91 + 10977.08*L50/10) +9*COS(1.42 + 6275.96*L50/10) +9*COS(0.27 + 5486.78*L50/10))*L50/1000000000  + (4359*COS(5.7846 + 6283.0758*L50/10)*L50^2+124*COS(5.579 + 12566.152*L50/10)*L50^2)/10000000000</f>
        <v>1.01181537427144</v>
      </c>
    </row>
    <row r="51" customFormat="false" ht="15" hidden="false" customHeight="false" outlineLevel="0" collapsed="false">
      <c r="D51" s="1"/>
      <c r="G51" s="9"/>
      <c r="K51" s="1"/>
      <c r="L51" s="1"/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0"/>
  <sheetViews>
    <sheetView showFormulas="false" showGridLines="true" showRowColHeaders="true" showZeros="true" rightToLeft="false" tabSelected="false" showOutlineSymbols="true" defaultGridColor="true" view="normal" topLeftCell="A29" colorId="64" zoomScale="100" zoomScaleNormal="100" zoomScalePageLayoutView="100" workbookViewId="0">
      <selection pane="topLeft" activeCell="A1" activeCellId="0" sqref="A1"/>
    </sheetView>
  </sheetViews>
  <sheetFormatPr defaultColWidth="9.58984375" defaultRowHeight="15" zeroHeight="false" outlineLevelRow="0" outlineLevelCol="0"/>
  <cols>
    <col collapsed="false" customWidth="true" hidden="false" outlineLevel="0" max="1" min="1" style="1" width="7.88"/>
    <col collapsed="false" customWidth="true" hidden="false" outlineLevel="0" max="2" min="2" style="1" width="7.54"/>
    <col collapsed="false" customWidth="true" hidden="false" outlineLevel="0" max="3" min="3" style="1" width="8.67"/>
    <col collapsed="false" customWidth="true" hidden="false" outlineLevel="0" max="4" min="4" style="1" width="7.77"/>
    <col collapsed="false" customWidth="true" hidden="false" outlineLevel="0" max="5" min="5" style="1" width="8.78"/>
    <col collapsed="false" customWidth="true" hidden="false" outlineLevel="0" max="6" min="6" style="34" width="7.77"/>
    <col collapsed="false" customWidth="true" hidden="false" outlineLevel="0" max="7" min="7" style="35" width="8.78"/>
    <col collapsed="false" customWidth="true" hidden="false" outlineLevel="0" max="8" min="8" style="36" width="8.33"/>
    <col collapsed="false" customWidth="true" hidden="false" outlineLevel="0" max="9" min="9" style="37" width="8.56"/>
    <col collapsed="false" customWidth="true" hidden="false" outlineLevel="0" max="10" min="10" style="38" width="8.56"/>
    <col collapsed="false" customWidth="false" hidden="false" outlineLevel="0" max="64" min="11" style="1" width="9.57"/>
    <col collapsed="false" customWidth="true" hidden="false" outlineLevel="0" max="1024" min="1024" style="0" width="7.32"/>
  </cols>
  <sheetData>
    <row r="1" s="42" customFormat="true" ht="15" hidden="false" customHeight="false" outlineLevel="0" collapsed="false">
      <c r="A1" s="2" t="str">
        <f aca="false">calc!$A$1</f>
        <v>Date</v>
      </c>
      <c r="B1" s="2" t="str">
        <f aca="false">calc!$B$1</f>
        <v>Month</v>
      </c>
      <c r="C1" s="2" t="str">
        <f aca="false">calc!$C$1</f>
        <v>Year</v>
      </c>
      <c r="D1" s="2" t="str">
        <f aca="false">calc!$D$1</f>
        <v>Lat.:</v>
      </c>
      <c r="E1" s="2" t="str">
        <f aca="false">calc!$E$1</f>
        <v>Long.:</v>
      </c>
      <c r="F1" s="39" t="str">
        <f aca="false">calc!$F$1</f>
        <v>UT</v>
      </c>
      <c r="G1" s="2" t="str">
        <f aca="false">calc!$H$1</f>
        <v>elevRefr</v>
      </c>
      <c r="H1" s="40" t="str">
        <f aca="false">calc!$I$1</f>
        <v>az</v>
      </c>
      <c r="I1" s="41" t="s">
        <v>33</v>
      </c>
      <c r="J1" s="40" t="s">
        <v>34</v>
      </c>
    </row>
    <row r="2" s="44" customFormat="true" ht="15" hidden="false" customHeight="false" outlineLevel="0" collapsed="false">
      <c r="A2" s="35" t="n">
        <f aca="false">calc!$A$2</f>
        <v>19</v>
      </c>
      <c r="B2" s="35" t="n">
        <f aca="false">calc!$B$2</f>
        <v>5</v>
      </c>
      <c r="C2" s="35" t="n">
        <f aca="false">calc!$C$2</f>
        <v>1991</v>
      </c>
      <c r="D2" s="35" t="n">
        <f aca="false">calc!$D$2</f>
        <v>50</v>
      </c>
      <c r="E2" s="35" t="n">
        <f aca="false">calc!$E$2</f>
        <v>10</v>
      </c>
      <c r="F2" s="20" t="n">
        <f aca="false">calc!$F$2</f>
        <v>0</v>
      </c>
      <c r="G2" s="43" t="n">
        <f aca="false">calc!$H$2</f>
        <v>-19.7675340833854</v>
      </c>
      <c r="H2" s="12" t="n">
        <f aca="false">calc!$I$2</f>
        <v>10.9033153832532</v>
      </c>
      <c r="I2" s="37"/>
      <c r="J2" s="38"/>
    </row>
    <row r="3" customFormat="false" ht="15" hidden="false" customHeight="false" outlineLevel="0" collapsed="false">
      <c r="A3" s="32" t="s">
        <v>31</v>
      </c>
      <c r="B3" s="32" t="s">
        <v>31</v>
      </c>
      <c r="C3" s="32" t="s">
        <v>31</v>
      </c>
      <c r="D3" s="32" t="s">
        <v>31</v>
      </c>
      <c r="E3" s="32" t="s">
        <v>31</v>
      </c>
      <c r="F3" s="20" t="n">
        <f aca="false">calc!$F$3</f>
        <v>0.5</v>
      </c>
      <c r="G3" s="43" t="n">
        <f aca="false">calc!$H$3</f>
        <v>-18.5517395874566</v>
      </c>
      <c r="H3" s="12" t="n">
        <f aca="false">calc!$I$3</f>
        <v>18.2680634574982</v>
      </c>
      <c r="I3" s="1"/>
      <c r="J3" s="1"/>
    </row>
    <row r="4" customFormat="false" ht="15" hidden="false" customHeight="false" outlineLevel="0" collapsed="false">
      <c r="F4" s="20" t="n">
        <f aca="false">calc!$F$4</f>
        <v>1</v>
      </c>
      <c r="G4" s="43" t="n">
        <f aca="false">calc!$H$4</f>
        <v>-16.7577210313851</v>
      </c>
      <c r="H4" s="12" t="n">
        <f aca="false">calc!$I$4</f>
        <v>25.4353667829301</v>
      </c>
      <c r="I4" s="1"/>
      <c r="J4" s="1"/>
    </row>
    <row r="5" customFormat="false" ht="15" hidden="false" customHeight="false" outlineLevel="0" collapsed="false">
      <c r="F5" s="20" t="n">
        <f aca="false">calc!$F$5</f>
        <v>1.5</v>
      </c>
      <c r="G5" s="43" t="n">
        <f aca="false">calc!$H$5</f>
        <v>-14.4315143726842</v>
      </c>
      <c r="H5" s="12" t="n">
        <f aca="false">calc!$I$5</f>
        <v>32.3560127970933</v>
      </c>
      <c r="I5" s="1"/>
      <c r="J5" s="1"/>
    </row>
    <row r="6" customFormat="false" ht="15" hidden="false" customHeight="false" outlineLevel="0" collapsed="false">
      <c r="F6" s="20" t="n">
        <f aca="false">calc!$F$6</f>
        <v>2</v>
      </c>
      <c r="G6" s="43" t="n">
        <f aca="false">calc!$H$6</f>
        <v>-11.6269651097857</v>
      </c>
      <c r="H6" s="12" t="n">
        <f aca="false">calc!$I$6</f>
        <v>39.004204139751</v>
      </c>
      <c r="I6" s="1"/>
      <c r="J6" s="1"/>
    </row>
    <row r="7" customFormat="false" ht="15" hidden="false" customHeight="false" outlineLevel="0" collapsed="false">
      <c r="F7" s="20" t="n">
        <f aca="false">calc!$F$7</f>
        <v>2.5</v>
      </c>
      <c r="G7" s="43" t="n">
        <f aca="false">calc!$H$7</f>
        <v>-8.39618280665652</v>
      </c>
      <c r="H7" s="12" t="n">
        <f aca="false">calc!$I$7</f>
        <v>45.3762955103073</v>
      </c>
      <c r="I7" s="1"/>
      <c r="J7" s="1"/>
    </row>
    <row r="8" customFormat="false" ht="15" hidden="false" customHeight="false" outlineLevel="0" collapsed="false">
      <c r="F8" s="20" t="n">
        <f aca="false">calc!$F$8</f>
        <v>3</v>
      </c>
      <c r="G8" s="43" t="n">
        <f aca="false">calc!$H$8</f>
        <v>-4.65750022893568</v>
      </c>
      <c r="H8" s="12" t="n">
        <f aca="false">calc!$I$8</f>
        <v>51.4874660187218</v>
      </c>
      <c r="I8" s="1"/>
      <c r="J8" s="1"/>
    </row>
    <row r="9" customFormat="false" ht="15" hidden="false" customHeight="false" outlineLevel="0" collapsed="false">
      <c r="F9" s="20" t="n">
        <f aca="false">calc!$F$9</f>
        <v>3.5</v>
      </c>
      <c r="G9" s="43" t="n">
        <f aca="false">calc!$H$9</f>
        <v>-0.169854523748074</v>
      </c>
      <c r="H9" s="12" t="n">
        <f aca="false">calc!$I$9</f>
        <v>57.3677789600879</v>
      </c>
      <c r="I9" s="41" t="s">
        <v>35</v>
      </c>
      <c r="J9" s="1"/>
    </row>
    <row r="10" customFormat="false" ht="15" hidden="false" customHeight="false" outlineLevel="0" collapsed="false">
      <c r="F10" s="20" t="n">
        <f aca="false">calc!$F$10</f>
        <v>4</v>
      </c>
      <c r="G10" s="43" t="n">
        <f aca="false">calc!$H$10</f>
        <v>3.61815030533802</v>
      </c>
      <c r="H10" s="12" t="n">
        <f aca="false">calc!$I$10</f>
        <v>63.0586927390862</v>
      </c>
      <c r="I10" s="1"/>
      <c r="J10" s="1"/>
    </row>
    <row r="11" customFormat="false" ht="15" hidden="false" customHeight="false" outlineLevel="0" collapsed="false">
      <c r="F11" s="20" t="n">
        <f aca="false">calc!$F$11</f>
        <v>4.5</v>
      </c>
      <c r="G11" s="43" t="n">
        <f aca="false">calc!$H$11</f>
        <v>7.92042621819054</v>
      </c>
      <c r="H11" s="12" t="n">
        <f aca="false">calc!$I$11</f>
        <v>68.6106089405836</v>
      </c>
      <c r="I11" s="1"/>
      <c r="J11" s="1"/>
    </row>
    <row r="12" customFormat="false" ht="15" hidden="false" customHeight="false" outlineLevel="0" collapsed="false">
      <c r="F12" s="20" t="n">
        <f aca="false">calc!$F$12</f>
        <v>5</v>
      </c>
      <c r="G12" s="43" t="n">
        <f aca="false">calc!$H$12</f>
        <v>12.4512736358916</v>
      </c>
      <c r="H12" s="12" t="n">
        <f aca="false">calc!$I$12</f>
        <v>74.0816891222615</v>
      </c>
      <c r="I12" s="1"/>
      <c r="J12" s="1"/>
    </row>
    <row r="13" customFormat="false" ht="15" hidden="false" customHeight="false" outlineLevel="0" collapsed="false">
      <c r="F13" s="20" t="n">
        <f aca="false">calc!$F$13</f>
        <v>5.5</v>
      </c>
      <c r="G13" s="43" t="n">
        <f aca="false">calc!$H$13</f>
        <v>17.126395486201</v>
      </c>
      <c r="H13" s="12" t="n">
        <f aca="false">calc!$I$13</f>
        <v>79.5379896732567</v>
      </c>
      <c r="I13" s="1"/>
      <c r="J13" s="1"/>
    </row>
    <row r="14" customFormat="false" ht="15" hidden="false" customHeight="false" outlineLevel="0" collapsed="false">
      <c r="F14" s="20" t="n">
        <f aca="false">calc!$F$14</f>
        <v>6</v>
      </c>
      <c r="G14" s="43" t="n">
        <f aca="false">calc!$H$14</f>
        <v>21.8928339912936</v>
      </c>
      <c r="H14" s="12" t="n">
        <f aca="false">calc!$I$14</f>
        <v>85.0549109859364</v>
      </c>
      <c r="I14" s="1"/>
      <c r="J14" s="1"/>
    </row>
    <row r="15" customFormat="false" ht="15" hidden="false" customHeight="false" outlineLevel="0" collapsed="false">
      <c r="F15" s="20" t="n">
        <f aca="false">calc!$F$15</f>
        <v>6.5</v>
      </c>
      <c r="G15" s="43" t="n">
        <f aca="false">calc!$H$15</f>
        <v>26.7033984991735</v>
      </c>
      <c r="H15" s="12" t="n">
        <f aca="false">calc!$I$15</f>
        <v>90.7199818041864</v>
      </c>
      <c r="I15" s="1"/>
      <c r="J15" s="1"/>
    </row>
    <row r="16" customFormat="false" ht="15" hidden="false" customHeight="false" outlineLevel="0" collapsed="false">
      <c r="F16" s="20" t="n">
        <f aca="false">calc!$F$16</f>
        <v>7</v>
      </c>
      <c r="G16" s="43" t="n">
        <f aca="false">calc!$H$16</f>
        <v>31.509623310892</v>
      </c>
      <c r="H16" s="12" t="n">
        <f aca="false">calc!$I$16</f>
        <v>96.6370262213653</v>
      </c>
      <c r="I16" s="1"/>
      <c r="J16" s="1"/>
    </row>
    <row r="17" customFormat="false" ht="15" hidden="false" customHeight="false" outlineLevel="0" collapsed="false">
      <c r="F17" s="20" t="n">
        <f aca="false">calc!$F$17</f>
        <v>7.5</v>
      </c>
      <c r="G17" s="43" t="n">
        <f aca="false">calc!$H$17</f>
        <v>36.2572821943787</v>
      </c>
      <c r="H17" s="12" t="n">
        <f aca="false">calc!$I$17</f>
        <v>102.931661906781</v>
      </c>
      <c r="I17" s="1"/>
      <c r="J17" s="1"/>
    </row>
    <row r="18" customFormat="false" ht="15" hidden="false" customHeight="false" outlineLevel="0" collapsed="false">
      <c r="F18" s="20" t="n">
        <f aca="false">calc!$F$18</f>
        <v>8</v>
      </c>
      <c r="G18" s="43" t="n">
        <f aca="false">calc!$H$18</f>
        <v>40.8816214884185</v>
      </c>
      <c r="H18" s="12" t="n">
        <f aca="false">calc!$I$18</f>
        <v>109.757617730484</v>
      </c>
      <c r="I18" s="1"/>
      <c r="J18" s="1"/>
    </row>
    <row r="19" customFormat="false" ht="15" hidden="false" customHeight="false" outlineLevel="0" collapsed="false">
      <c r="F19" s="20" t="n">
        <f aca="false">calc!$F$19</f>
        <v>8.5</v>
      </c>
      <c r="G19" s="43" t="n">
        <f aca="false">calc!$H$19</f>
        <v>45.3013887130825</v>
      </c>
      <c r="H19" s="12" t="n">
        <f aca="false">calc!$I$19</f>
        <v>117.301999458599</v>
      </c>
      <c r="I19" s="1"/>
      <c r="J19" s="1"/>
    </row>
    <row r="20" customFormat="false" ht="15" hidden="false" customHeight="false" outlineLevel="0" collapsed="false">
      <c r="F20" s="20" t="n">
        <f aca="false">calc!$F$20</f>
        <v>9</v>
      </c>
      <c r="G20" s="43" t="n">
        <f aca="false">calc!$H$20</f>
        <v>49.4114060259324</v>
      </c>
      <c r="H20" s="12" t="n">
        <f aca="false">calc!$I$20</f>
        <v>125.784316541261</v>
      </c>
      <c r="I20" s="1"/>
      <c r="J20" s="1"/>
    </row>
    <row r="21" customFormat="false" ht="15" hidden="false" customHeight="false" outlineLevel="0" collapsed="false">
      <c r="F21" s="20" t="n">
        <f aca="false">calc!$F$21</f>
        <v>9.5</v>
      </c>
      <c r="G21" s="43" t="n">
        <f aca="false">calc!$H$21</f>
        <v>53.0746599999557</v>
      </c>
      <c r="H21" s="12" t="n">
        <f aca="false">calc!$I$21</f>
        <v>135.437465019181</v>
      </c>
      <c r="I21" s="1"/>
      <c r="J21" s="1"/>
    </row>
    <row r="22" customFormat="false" ht="15" hidden="false" customHeight="false" outlineLevel="0" collapsed="false">
      <c r="F22" s="20" t="n">
        <f aca="false">calc!$F$22</f>
        <v>10</v>
      </c>
      <c r="G22" s="43" t="n">
        <f aca="false">calc!$H$22</f>
        <v>56.117875416055</v>
      </c>
      <c r="H22" s="12" t="n">
        <f aca="false">calc!$I$22</f>
        <v>146.449907986756</v>
      </c>
      <c r="I22" s="1"/>
      <c r="J22" s="1"/>
    </row>
    <row r="23" customFormat="false" ht="15" hidden="false" customHeight="false" outlineLevel="0" collapsed="false">
      <c r="F23" s="20" t="n">
        <f aca="false">calc!$F$23</f>
        <v>10.5</v>
      </c>
      <c r="G23" s="43" t="n">
        <f aca="false">calc!$H$23</f>
        <v>58.3398668314364</v>
      </c>
      <c r="H23" s="12" t="n">
        <f aca="false">calc!$I$23</f>
        <v>158.849462434424</v>
      </c>
      <c r="I23" s="1"/>
      <c r="J23" s="1"/>
    </row>
    <row r="24" customFormat="false" ht="15" hidden="false" customHeight="false" outlineLevel="0" collapsed="false">
      <c r="F24" s="20" t="n">
        <f aca="false">calc!$F$24</f>
        <v>11</v>
      </c>
      <c r="G24" s="43" t="n">
        <f aca="false">calc!$H$24</f>
        <v>59.5454636875405</v>
      </c>
      <c r="H24" s="12" t="n">
        <f aca="false">calc!$I$24</f>
        <v>172.354168025068</v>
      </c>
      <c r="I24" s="1"/>
      <c r="J24" s="1"/>
    </row>
    <row r="25" customFormat="false" ht="15" hidden="false" customHeight="false" outlineLevel="0" collapsed="false">
      <c r="F25" s="20" t="n">
        <f aca="false">calc!$F$25</f>
        <v>11.5</v>
      </c>
      <c r="G25" s="43" t="n">
        <f aca="false">calc!$H$25</f>
        <v>59.6060408763346</v>
      </c>
      <c r="H25" s="12" t="n">
        <f aca="false">calc!$I$25</f>
        <v>186.3160865954</v>
      </c>
      <c r="I25" s="1"/>
      <c r="J25" s="1"/>
    </row>
    <row r="26" customFormat="false" ht="15" hidden="false" customHeight="false" outlineLevel="0" collapsed="false">
      <c r="F26" s="20" t="n">
        <f aca="false">calc!$F$26</f>
        <v>12</v>
      </c>
      <c r="G26" s="43" t="n">
        <f aca="false">calc!$H$26</f>
        <v>58.5148007323077</v>
      </c>
      <c r="H26" s="12" t="n">
        <f aca="false">calc!$I$26</f>
        <v>199.902975322862</v>
      </c>
      <c r="I26" s="1"/>
      <c r="J26" s="1"/>
    </row>
    <row r="27" customFormat="false" ht="15" hidden="false" customHeight="false" outlineLevel="0" collapsed="false">
      <c r="F27" s="20" t="n">
        <f aca="false">calc!$F$27</f>
        <v>12.5</v>
      </c>
      <c r="G27" s="43" t="n">
        <f aca="false">calc!$H$27</f>
        <v>56.3900630764101</v>
      </c>
      <c r="H27" s="12" t="n">
        <f aca="false">calc!$I$27</f>
        <v>212.435317052645</v>
      </c>
      <c r="I27" s="1"/>
      <c r="J27" s="1"/>
    </row>
    <row r="28" customFormat="false" ht="15" hidden="false" customHeight="false" outlineLevel="0" collapsed="false">
      <c r="F28" s="20" t="n">
        <f aca="false">calc!$F$28</f>
        <v>13</v>
      </c>
      <c r="G28" s="43" t="n">
        <f aca="false">calc!$H$28</f>
        <v>53.4234011627856</v>
      </c>
      <c r="H28" s="12" t="n">
        <f aca="false">calc!$I$28</f>
        <v>223.593137138353</v>
      </c>
      <c r="I28" s="1"/>
      <c r="J28" s="1"/>
    </row>
    <row r="29" customFormat="false" ht="15" hidden="false" customHeight="false" outlineLevel="0" collapsed="false">
      <c r="F29" s="20" t="n">
        <f aca="false">calc!$F$29</f>
        <v>13.5</v>
      </c>
      <c r="G29" s="43" t="n">
        <f aca="false">calc!$H$29</f>
        <v>49.8175669354362</v>
      </c>
      <c r="H29" s="12" t="n">
        <f aca="false">calc!$I$29</f>
        <v>233.379248312679</v>
      </c>
      <c r="I29" s="1"/>
      <c r="J29" s="1"/>
    </row>
    <row r="30" customFormat="false" ht="15" hidden="false" customHeight="false" outlineLevel="0" collapsed="false">
      <c r="F30" s="20" t="n">
        <f aca="false">calc!$F$30</f>
        <v>14</v>
      </c>
      <c r="G30" s="43" t="n">
        <f aca="false">calc!$H$30</f>
        <v>45.7494789375484</v>
      </c>
      <c r="H30" s="12" t="n">
        <f aca="false">calc!$I$30</f>
        <v>241.972056346051</v>
      </c>
      <c r="I30" s="1"/>
      <c r="J30" s="1"/>
    </row>
    <row r="31" customFormat="false" ht="15" hidden="false" customHeight="false" outlineLevel="0" collapsed="false">
      <c r="F31" s="20" t="n">
        <f aca="false">calc!$F$31</f>
        <v>14.5</v>
      </c>
      <c r="G31" s="43" t="n">
        <f aca="false">calc!$H$31</f>
        <v>41.3598370441261</v>
      </c>
      <c r="H31" s="12" t="n">
        <f aca="false">calc!$I$31</f>
        <v>249.603440545179</v>
      </c>
      <c r="I31" s="1"/>
      <c r="J31" s="1"/>
    </row>
    <row r="32" customFormat="false" ht="15" hidden="false" customHeight="false" outlineLevel="0" collapsed="false">
      <c r="F32" s="20" t="n">
        <f aca="false">calc!$F$32</f>
        <v>15</v>
      </c>
      <c r="G32" s="43" t="n">
        <f aca="false">calc!$H$32</f>
        <v>36.7567798213924</v>
      </c>
      <c r="H32" s="12" t="n">
        <f aca="false">calc!$I$32</f>
        <v>256.495601023102</v>
      </c>
      <c r="I32" s="1"/>
      <c r="J32" s="1"/>
    </row>
    <row r="33" customFormat="false" ht="15" hidden="false" customHeight="false" outlineLevel="0" collapsed="false">
      <c r="F33" s="20" t="n">
        <f aca="false">calc!$F$33</f>
        <v>15.5</v>
      </c>
      <c r="G33" s="43" t="n">
        <f aca="false">calc!$H$33</f>
        <v>32.0236981245287</v>
      </c>
      <c r="H33" s="12" t="n">
        <f aca="false">calc!$I$33</f>
        <v>262.8391640376</v>
      </c>
      <c r="I33" s="1"/>
      <c r="J33" s="1"/>
    </row>
    <row r="34" customFormat="false" ht="15" hidden="false" customHeight="false" outlineLevel="0" collapsed="false">
      <c r="F34" s="20" t="n">
        <f aca="false">calc!$F$34</f>
        <v>16</v>
      </c>
      <c r="G34" s="43" t="n">
        <f aca="false">calc!$H$34</f>
        <v>27.2267894274496</v>
      </c>
      <c r="H34" s="12" t="n">
        <f aca="false">calc!$I$34</f>
        <v>268.791048246803</v>
      </c>
      <c r="I34" s="1"/>
      <c r="J34" s="1"/>
    </row>
    <row r="35" customFormat="false" ht="15" hidden="false" customHeight="false" outlineLevel="0" collapsed="false">
      <c r="F35" s="20" t="n">
        <f aca="false">calc!$F$35</f>
        <v>16.5</v>
      </c>
      <c r="G35" s="43" t="n">
        <f aca="false">calc!$H$35</f>
        <v>22.4211773858171</v>
      </c>
      <c r="H35" s="12" t="n">
        <f aca="false">calc!$I$35</f>
        <v>274.479406627131</v>
      </c>
      <c r="I35" s="1"/>
      <c r="J35" s="1"/>
    </row>
    <row r="36" customFormat="false" ht="15" hidden="false" customHeight="false" outlineLevel="0" collapsed="false">
      <c r="F36" s="20" t="n">
        <f aca="false">calc!$F$36</f>
        <v>17</v>
      </c>
      <c r="G36" s="43" t="n">
        <f aca="false">calc!$H$36</f>
        <v>17.6557646922686</v>
      </c>
      <c r="H36" s="12" t="n">
        <f aca="false">calc!$I$36</f>
        <v>280.009951284624</v>
      </c>
      <c r="I36" s="1"/>
      <c r="J36" s="1"/>
    </row>
    <row r="37" customFormat="false" ht="15" hidden="false" customHeight="false" outlineLevel="0" collapsed="false">
      <c r="F37" s="20" t="n">
        <f aca="false">calc!$F$37</f>
        <v>17.5</v>
      </c>
      <c r="G37" s="43" t="n">
        <f aca="false">calc!$H$37</f>
        <v>12.9776484868657</v>
      </c>
      <c r="H37" s="12" t="n">
        <f aca="false">calc!$I$37</f>
        <v>285.471563320812</v>
      </c>
      <c r="I37" s="1"/>
      <c r="J37" s="1"/>
    </row>
    <row r="38" customFormat="false" ht="15" hidden="false" customHeight="false" outlineLevel="0" collapsed="false">
      <c r="F38" s="20" t="n">
        <f aca="false">calc!$F$38</f>
        <v>18</v>
      </c>
      <c r="G38" s="43" t="n">
        <f aca="false">calc!$H$38</f>
        <v>8.43849406484674</v>
      </c>
      <c r="H38" s="12" t="n">
        <f aca="false">calc!$I$38</f>
        <v>290.940590810718</v>
      </c>
      <c r="I38" s="1"/>
      <c r="J38" s="1"/>
    </row>
    <row r="39" customFormat="false" ht="15" hidden="false" customHeight="false" outlineLevel="0" collapsed="false">
      <c r="F39" s="20" t="n">
        <f aca="false">calc!$F$39</f>
        <v>18.5</v>
      </c>
      <c r="G39" s="43" t="n">
        <f aca="false">calc!$H$39</f>
        <v>4.11533373606033</v>
      </c>
      <c r="H39" s="12" t="n">
        <f aca="false">calc!$I$39</f>
        <v>296.48375948879</v>
      </c>
      <c r="I39" s="1"/>
      <c r="J39" s="1"/>
    </row>
    <row r="40" customFormat="false" ht="15" hidden="false" customHeight="false" outlineLevel="0" collapsed="false">
      <c r="F40" s="20" t="n">
        <f aca="false">calc!$F$40</f>
        <v>19</v>
      </c>
      <c r="G40" s="43" t="n">
        <f aca="false">calc!$H$40</f>
        <v>0.249896564871013</v>
      </c>
      <c r="H40" s="12" t="n">
        <f aca="false">calc!$I$40</f>
        <v>302.159743236247</v>
      </c>
      <c r="I40" s="1"/>
      <c r="J40" s="1"/>
    </row>
    <row r="41" customFormat="false" ht="15" hidden="false" customHeight="false" outlineLevel="0" collapsed="false">
      <c r="F41" s="20" t="n">
        <f aca="false">calc!$F$41</f>
        <v>19.5</v>
      </c>
      <c r="G41" s="43" t="n">
        <f aca="false">calc!$H$41</f>
        <v>-4.08207551267565</v>
      </c>
      <c r="H41" s="12" t="n">
        <f aca="false">calc!$I$41</f>
        <v>308.01942194348</v>
      </c>
      <c r="I41" s="1"/>
      <c r="J41" s="40" t="s">
        <v>36</v>
      </c>
    </row>
    <row r="42" customFormat="false" ht="15" hidden="false" customHeight="false" outlineLevel="0" collapsed="false">
      <c r="F42" s="20" t="n">
        <f aca="false">calc!$F$42</f>
        <v>20</v>
      </c>
      <c r="G42" s="43" t="n">
        <f aca="false">calc!$H$42</f>
        <v>-7.9280891812933</v>
      </c>
      <c r="H42" s="12" t="n">
        <f aca="false">calc!$I$42</f>
        <v>314.104828380865</v>
      </c>
      <c r="I42" s="1"/>
      <c r="J42" s="1"/>
    </row>
    <row r="43" customFormat="false" ht="15" hidden="false" customHeight="false" outlineLevel="0" collapsed="false">
      <c r="F43" s="20" t="n">
        <f aca="false">calc!$F$43</f>
        <v>20.5</v>
      </c>
      <c r="G43" s="43" t="n">
        <f aca="false">calc!$H$43</f>
        <v>-11.1865064553042</v>
      </c>
      <c r="H43" s="12" t="n">
        <f aca="false">calc!$I$43</f>
        <v>320.446830886018</v>
      </c>
      <c r="I43" s="1"/>
      <c r="J43" s="1"/>
    </row>
    <row r="44" customFormat="false" ht="15" hidden="false" customHeight="false" outlineLevel="0" collapsed="false">
      <c r="F44" s="20" t="n">
        <f aca="false">calc!$F$44</f>
        <v>21</v>
      </c>
      <c r="G44" s="43" t="n">
        <f aca="false">calc!$H$44</f>
        <v>-14.0209283280871</v>
      </c>
      <c r="H44" s="12" t="n">
        <f aca="false">calc!$I$44</f>
        <v>327.061766433925</v>
      </c>
      <c r="I44" s="1"/>
      <c r="J44" s="1"/>
    </row>
    <row r="45" customFormat="false" ht="15" hidden="false" customHeight="false" outlineLevel="0" collapsed="false">
      <c r="F45" s="20" t="n">
        <f aca="false">calc!$F$45</f>
        <v>21.5</v>
      </c>
      <c r="G45" s="43" t="n">
        <f aca="false">calc!$H$45</f>
        <v>-16.3822835301611</v>
      </c>
      <c r="H45" s="12" t="n">
        <f aca="false">calc!$I$45</f>
        <v>333.94757420597</v>
      </c>
      <c r="I45" s="1"/>
      <c r="J45" s="1"/>
    </row>
    <row r="46" customFormat="false" ht="15" hidden="false" customHeight="false" outlineLevel="0" collapsed="false">
      <c r="F46" s="20" t="n">
        <f aca="false">calc!$F$46</f>
        <v>22</v>
      </c>
      <c r="G46" s="43" t="n">
        <f aca="false">calc!$H$46</f>
        <v>-18.2167437747798</v>
      </c>
      <c r="H46" s="12" t="n">
        <f aca="false">calc!$I$46</f>
        <v>341.080442810353</v>
      </c>
      <c r="I46" s="1"/>
      <c r="J46" s="1"/>
    </row>
    <row r="47" customFormat="false" ht="15" hidden="false" customHeight="false" outlineLevel="0" collapsed="false">
      <c r="F47" s="20" t="n">
        <f aca="false">calc!$F$47</f>
        <v>22.5</v>
      </c>
      <c r="G47" s="43" t="n">
        <f aca="false">calc!$H$47</f>
        <v>-19.4777485956127</v>
      </c>
      <c r="H47" s="12" t="n">
        <f aca="false">calc!$I$47</f>
        <v>348.413378272113</v>
      </c>
      <c r="I47" s="1"/>
      <c r="J47" s="1"/>
    </row>
    <row r="48" customFormat="false" ht="15" hidden="false" customHeight="false" outlineLevel="0" collapsed="false">
      <c r="F48" s="20" t="n">
        <f aca="false">calc!$F$48</f>
        <v>23</v>
      </c>
      <c r="G48" s="43" t="n">
        <f aca="false">calc!$H$48</f>
        <v>-20.1307655434461</v>
      </c>
      <c r="H48" s="12" t="n">
        <f aca="false">calc!$I$48</f>
        <v>355.878107002732</v>
      </c>
      <c r="I48" s="1"/>
      <c r="J48" s="1"/>
    </row>
    <row r="49" customFormat="false" ht="15" hidden="false" customHeight="false" outlineLevel="0" collapsed="false">
      <c r="F49" s="20" t="n">
        <f aca="false">calc!$F$49</f>
        <v>23.5</v>
      </c>
      <c r="G49" s="43" t="n">
        <f aca="false">calc!$H$49</f>
        <v>-20.1570226520525</v>
      </c>
      <c r="H49" s="12" t="n">
        <f aca="false">calc!$I$49</f>
        <v>3.39104566496903</v>
      </c>
      <c r="I49" s="1"/>
      <c r="J49" s="1"/>
    </row>
    <row r="50" customFormat="false" ht="15" hidden="false" customHeight="false" outlineLevel="0" collapsed="false">
      <c r="F50" s="20" t="n">
        <f aca="false">calc!$F$50</f>
        <v>24</v>
      </c>
      <c r="G50" s="43" t="n">
        <f aca="false">calc!$H$50</f>
        <v>-19.5557301975193</v>
      </c>
      <c r="H50" s="12" t="n">
        <f aca="false">calc!$I$50</f>
        <v>10.8627270114851</v>
      </c>
      <c r="I50" s="1"/>
      <c r="J50" s="1"/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" activeCellId="0" sqref="E2"/>
    </sheetView>
  </sheetViews>
  <sheetFormatPr defaultColWidth="9.58984375" defaultRowHeight="15" zeroHeight="false" outlineLevelRow="0" outlineLevelCol="0"/>
  <cols>
    <col collapsed="false" customWidth="false" hidden="false" outlineLevel="0" max="3" min="1" style="1" width="9.57"/>
    <col collapsed="false" customWidth="false" hidden="false" outlineLevel="0" max="5" min="4" style="5" width="9.57"/>
    <col collapsed="false" customWidth="false" hidden="false" outlineLevel="0" max="6" min="6" style="45" width="9.57"/>
    <col collapsed="false" customWidth="false" hidden="false" outlineLevel="0" max="64" min="7" style="1" width="9.57"/>
    <col collapsed="false" customWidth="true" hidden="false" outlineLevel="0" max="1024" min="1024" style="0" width="7.32"/>
  </cols>
  <sheetData>
    <row r="1" s="46" customFormat="true" ht="15" hidden="false" customHeight="false" outlineLevel="0" collapsed="false">
      <c r="A1" s="2" t="str">
        <f aca="false">calc!$A$1</f>
        <v>Date</v>
      </c>
      <c r="B1" s="2" t="str">
        <f aca="false">calc!$B$1</f>
        <v>Month</v>
      </c>
      <c r="C1" s="2" t="str">
        <f aca="false">calc!$C$1</f>
        <v>Year</v>
      </c>
      <c r="D1" s="7" t="str">
        <f aca="false">calc!$F$1</f>
        <v>UT</v>
      </c>
      <c r="E1" s="7" t="str">
        <f aca="false">calc!$J$1</f>
        <v>EoT/min</v>
      </c>
      <c r="F1" s="7" t="s">
        <v>37</v>
      </c>
      <c r="G1" s="1"/>
    </row>
    <row r="2" customFormat="false" ht="15" hidden="false" customHeight="false" outlineLevel="0" collapsed="false">
      <c r="A2" s="35" t="n">
        <f aca="false">calc!$A$2</f>
        <v>19</v>
      </c>
      <c r="B2" s="35" t="n">
        <f aca="false">calc!$B$2</f>
        <v>5</v>
      </c>
      <c r="C2" s="35" t="n">
        <f aca="false">calc!$C$2</f>
        <v>1991</v>
      </c>
      <c r="D2" s="19" t="n">
        <f aca="false">calc!$F$2</f>
        <v>0</v>
      </c>
      <c r="E2" s="19" t="n">
        <f aca="false">calc!$J$2</f>
        <v>3.5836286431288</v>
      </c>
      <c r="F2" s="45" t="str">
        <f aca="false">INT(ABS(E2)) &amp; ":" &amp;ROUND(60*(ABS(E2)-INT(ABS(E2))),0)</f>
        <v>3:35</v>
      </c>
    </row>
    <row r="3" customFormat="false" ht="15" hidden="false" customHeight="false" outlineLevel="0" collapsed="false">
      <c r="A3" s="32" t="s">
        <v>31</v>
      </c>
      <c r="B3" s="32" t="s">
        <v>31</v>
      </c>
      <c r="C3" s="32" t="s">
        <v>31</v>
      </c>
      <c r="D3" s="19" t="n">
        <f aca="false">calc!$F$3</f>
        <v>0.5</v>
      </c>
      <c r="E3" s="19" t="n">
        <f aca="false">calc!$J$3</f>
        <v>3.58278880540229</v>
      </c>
      <c r="F3" s="45" t="str">
        <f aca="false">INT(ABS(E3)) &amp; ":" &amp;ROUND(60*(ABS(E3)-INT(ABS(E3))),0)</f>
        <v>3:35</v>
      </c>
    </row>
    <row r="4" customFormat="false" ht="15" hidden="false" customHeight="false" outlineLevel="0" collapsed="false">
      <c r="D4" s="19" t="n">
        <f aca="false">calc!$F$4</f>
        <v>1</v>
      </c>
      <c r="E4" s="19" t="n">
        <f aca="false">calc!$J$4</f>
        <v>3.58194497372256</v>
      </c>
      <c r="F4" s="45" t="str">
        <f aca="false">INT(ABS(E4)) &amp; ":" &amp;ROUND(60*(ABS(E4)-INT(ABS(E4))),0)</f>
        <v>3:35</v>
      </c>
    </row>
    <row r="5" customFormat="false" ht="15" hidden="false" customHeight="false" outlineLevel="0" collapsed="false">
      <c r="D5" s="19" t="n">
        <f aca="false">calc!$F$5</f>
        <v>1.5</v>
      </c>
      <c r="E5" s="19" t="n">
        <f aca="false">calc!$J$5</f>
        <v>3.58109714893078</v>
      </c>
      <c r="F5" s="45" t="str">
        <f aca="false">INT(ABS(E5)) &amp; ":" &amp;ROUND(60*(ABS(E5)-INT(ABS(E5))),0)</f>
        <v>3:35</v>
      </c>
    </row>
    <row r="6" customFormat="false" ht="15" hidden="false" customHeight="false" outlineLevel="0" collapsed="false">
      <c r="D6" s="19" t="n">
        <f aca="false">calc!$F$6</f>
        <v>2</v>
      </c>
      <c r="E6" s="19" t="n">
        <f aca="false">calc!$J$6</f>
        <v>3.58024533192705</v>
      </c>
      <c r="F6" s="45" t="str">
        <f aca="false">INT(ABS(E6)) &amp; ":" &amp;ROUND(60*(ABS(E6)-INT(ABS(E6))),0)</f>
        <v>3:35</v>
      </c>
    </row>
    <row r="7" customFormat="false" ht="15" hidden="false" customHeight="false" outlineLevel="0" collapsed="false">
      <c r="D7" s="19" t="n">
        <f aca="false">calc!$F$7</f>
        <v>2.5</v>
      </c>
      <c r="E7" s="19" t="n">
        <f aca="false">calc!$J$7</f>
        <v>3.57938952361425</v>
      </c>
      <c r="F7" s="45" t="str">
        <f aca="false">INT(ABS(E7)) &amp; ":" &amp;ROUND(60*(ABS(E7)-INT(ABS(E7))),0)</f>
        <v>3:35</v>
      </c>
    </row>
    <row r="8" customFormat="false" ht="15" hidden="false" customHeight="false" outlineLevel="0" collapsed="false">
      <c r="D8" s="19" t="n">
        <f aca="false">calc!$F$8</f>
        <v>3</v>
      </c>
      <c r="E8" s="19" t="n">
        <f aca="false">calc!$J$8</f>
        <v>3.57852972484065</v>
      </c>
      <c r="F8" s="45" t="str">
        <f aca="false">INT(ABS(E8)) &amp; ":" &amp;ROUND(60*(ABS(E8)-INT(ABS(E8))),0)</f>
        <v>3:35</v>
      </c>
    </row>
    <row r="9" customFormat="false" ht="15" hidden="false" customHeight="false" outlineLevel="0" collapsed="false">
      <c r="D9" s="19" t="n">
        <f aca="false">calc!$F$9</f>
        <v>3.5</v>
      </c>
      <c r="E9" s="19" t="n">
        <f aca="false">calc!$J$9</f>
        <v>3.57766593651448</v>
      </c>
      <c r="F9" s="45" t="str">
        <f aca="false">INT(ABS(E9)) &amp; ":" &amp;ROUND(60*(ABS(E9)-INT(ABS(E9))),0)</f>
        <v>3:35</v>
      </c>
    </row>
    <row r="10" customFormat="false" ht="15" hidden="false" customHeight="false" outlineLevel="0" collapsed="false">
      <c r="D10" s="19" t="n">
        <f aca="false">calc!$F$10</f>
        <v>4</v>
      </c>
      <c r="E10" s="19" t="n">
        <f aca="false">calc!$J$10</f>
        <v>3.5767981595466</v>
      </c>
      <c r="F10" s="45" t="str">
        <f aca="false">INT(ABS(E10)) &amp; ":" &amp;ROUND(60*(ABS(E10)-INT(ABS(E10))),0)</f>
        <v>3:35</v>
      </c>
    </row>
    <row r="11" customFormat="false" ht="15" hidden="false" customHeight="false" outlineLevel="0" collapsed="false">
      <c r="D11" s="19" t="n">
        <f aca="false">calc!$F$11</f>
        <v>4.5</v>
      </c>
      <c r="E11" s="19" t="n">
        <f aca="false">calc!$J$11</f>
        <v>3.5759263947923</v>
      </c>
      <c r="F11" s="45" t="str">
        <f aca="false">INT(ABS(E11)) &amp; ":" &amp;ROUND(60*(ABS(E11)-INT(ABS(E11))),0)</f>
        <v>3:35</v>
      </c>
    </row>
    <row r="12" customFormat="false" ht="15" hidden="false" customHeight="false" outlineLevel="0" collapsed="false">
      <c r="D12" s="19" t="n">
        <f aca="false">calc!$F$12</f>
        <v>5</v>
      </c>
      <c r="E12" s="19" t="n">
        <f aca="false">calc!$J$12</f>
        <v>3.57505064316751</v>
      </c>
      <c r="F12" s="45" t="str">
        <f aca="false">INT(ABS(E12)) &amp; ":" &amp;ROUND(60*(ABS(E12)-INT(ABS(E12))),0)</f>
        <v>3:35</v>
      </c>
    </row>
    <row r="13" customFormat="false" ht="15" hidden="false" customHeight="false" outlineLevel="0" collapsed="false">
      <c r="D13" s="19" t="n">
        <f aca="false">calc!$F$13</f>
        <v>5.5</v>
      </c>
      <c r="E13" s="19" t="n">
        <f aca="false">calc!$J$13</f>
        <v>3.57417090559127</v>
      </c>
      <c r="F13" s="45" t="str">
        <f aca="false">INT(ABS(E13)) &amp; ":" &amp;ROUND(60*(ABS(E13)-INT(ABS(E13))),0)</f>
        <v>3:34</v>
      </c>
    </row>
    <row r="14" customFormat="false" ht="15" hidden="false" customHeight="false" outlineLevel="0" collapsed="false">
      <c r="D14" s="19" t="n">
        <f aca="false">calc!$F$14</f>
        <v>6</v>
      </c>
      <c r="E14" s="19" t="n">
        <f aca="false">calc!$J$14</f>
        <v>3.57328718292604</v>
      </c>
      <c r="F14" s="45" t="str">
        <f aca="false">INT(ABS(E14)) &amp; ":" &amp;ROUND(60*(ABS(E14)-INT(ABS(E14))),0)</f>
        <v>3:34</v>
      </c>
    </row>
    <row r="15" customFormat="false" ht="15" hidden="false" customHeight="false" outlineLevel="0" collapsed="false">
      <c r="D15" s="19" t="n">
        <f aca="false">calc!$F$15</f>
        <v>6.5</v>
      </c>
      <c r="E15" s="19" t="n">
        <f aca="false">calc!$J$15</f>
        <v>3.5723994760954</v>
      </c>
      <c r="F15" s="45" t="str">
        <f aca="false">INT(ABS(E15)) &amp; ":" &amp;ROUND(60*(ABS(E15)-INT(ABS(E15))),0)</f>
        <v>3:34</v>
      </c>
    </row>
    <row r="16" customFormat="false" ht="15" hidden="false" customHeight="false" outlineLevel="0" collapsed="false">
      <c r="D16" s="19" t="n">
        <f aca="false">calc!$F$16</f>
        <v>7</v>
      </c>
      <c r="E16" s="19" t="n">
        <f aca="false">calc!$J$16</f>
        <v>3.5715077860265</v>
      </c>
      <c r="F16" s="45" t="str">
        <f aca="false">INT(ABS(E16)) &amp; ":" &amp;ROUND(60*(ABS(E16)-INT(ABS(E16))),0)</f>
        <v>3:34</v>
      </c>
    </row>
    <row r="17" customFormat="false" ht="15" hidden="false" customHeight="false" outlineLevel="0" collapsed="false">
      <c r="D17" s="19" t="n">
        <f aca="false">calc!$F$17</f>
        <v>7.5</v>
      </c>
      <c r="E17" s="19" t="n">
        <f aca="false">calc!$J$17</f>
        <v>3.57061211358874</v>
      </c>
      <c r="F17" s="45" t="str">
        <f aca="false">INT(ABS(E17)) &amp; ":" &amp;ROUND(60*(ABS(E17)-INT(ABS(E17))),0)</f>
        <v>3:34</v>
      </c>
    </row>
    <row r="18" customFormat="false" ht="15" hidden="false" customHeight="false" outlineLevel="0" collapsed="false">
      <c r="D18" s="19" t="n">
        <f aca="false">calc!$F$18</f>
        <v>8</v>
      </c>
      <c r="E18" s="19" t="n">
        <f aca="false">calc!$J$18</f>
        <v>3.569712459714</v>
      </c>
      <c r="F18" s="45" t="str">
        <f aca="false">INT(ABS(E18)) &amp; ":" &amp;ROUND(60*(ABS(E18)-INT(ABS(E18))),0)</f>
        <v>3:34</v>
      </c>
    </row>
    <row r="19" customFormat="false" ht="15" hidden="false" customHeight="false" outlineLevel="0" collapsed="false">
      <c r="D19" s="19" t="n">
        <f aca="false">calc!$F$19</f>
        <v>8.5</v>
      </c>
      <c r="E19" s="19" t="n">
        <f aca="false">calc!$J$19</f>
        <v>3.56880882533702</v>
      </c>
      <c r="F19" s="45" t="str">
        <f aca="false">INT(ABS(E19)) &amp; ":" &amp;ROUND(60*(ABS(E19)-INT(ABS(E19))),0)</f>
        <v>3:34</v>
      </c>
    </row>
    <row r="20" customFormat="false" ht="15" hidden="false" customHeight="false" outlineLevel="0" collapsed="false">
      <c r="D20" s="19" t="n">
        <f aca="false">calc!$F$20</f>
        <v>9</v>
      </c>
      <c r="E20" s="19" t="n">
        <f aca="false">calc!$J$20</f>
        <v>3.56790121133446</v>
      </c>
      <c r="F20" s="45" t="str">
        <f aca="false">INT(ABS(E20)) &amp; ":" &amp;ROUND(60*(ABS(E20)-INT(ABS(E20))),0)</f>
        <v>3:34</v>
      </c>
    </row>
    <row r="21" customFormat="false" ht="15" hidden="false" customHeight="false" outlineLevel="0" collapsed="false">
      <c r="D21" s="19" t="n">
        <f aca="false">calc!$F$21</f>
        <v>9.5</v>
      </c>
      <c r="E21" s="19" t="n">
        <f aca="false">calc!$J$21</f>
        <v>3.56698961864603</v>
      </c>
      <c r="F21" s="45" t="str">
        <f aca="false">INT(ABS(E21)) &amp; ":" &amp;ROUND(60*(ABS(E21)-INT(ABS(E21))),0)</f>
        <v>3:34</v>
      </c>
    </row>
    <row r="22" customFormat="false" ht="15" hidden="false" customHeight="false" outlineLevel="0" collapsed="false">
      <c r="D22" s="19" t="n">
        <f aca="false">calc!$F$22</f>
        <v>10</v>
      </c>
      <c r="E22" s="19" t="n">
        <f aca="false">calc!$J$22</f>
        <v>3.56607404821435</v>
      </c>
      <c r="F22" s="45" t="str">
        <f aca="false">INT(ABS(E22)) &amp; ":" &amp;ROUND(60*(ABS(E22)-INT(ABS(E22))),0)</f>
        <v>3:34</v>
      </c>
    </row>
    <row r="23" customFormat="false" ht="15" hidden="false" customHeight="false" outlineLevel="0" collapsed="false">
      <c r="D23" s="19" t="n">
        <f aca="false">calc!$F$23</f>
        <v>10.5</v>
      </c>
      <c r="E23" s="19" t="n">
        <f aca="false">calc!$J$23</f>
        <v>3.56515450092348</v>
      </c>
      <c r="F23" s="45" t="str">
        <f aca="false">INT(ABS(E23)) &amp; ":" &amp;ROUND(60*(ABS(E23)-INT(ABS(E23))),0)</f>
        <v>3:34</v>
      </c>
    </row>
    <row r="24" customFormat="false" ht="15" hidden="false" customHeight="false" outlineLevel="0" collapsed="false">
      <c r="D24" s="19" t="n">
        <f aca="false">calc!$F$24</f>
        <v>11</v>
      </c>
      <c r="E24" s="19" t="n">
        <f aca="false">calc!$J$24</f>
        <v>3.56423097772083</v>
      </c>
      <c r="F24" s="45" t="str">
        <f aca="false">INT(ABS(E24)) &amp; ":" &amp;ROUND(60*(ABS(E24)-INT(ABS(E24))),0)</f>
        <v>3:34</v>
      </c>
    </row>
    <row r="25" customFormat="false" ht="15" hidden="false" customHeight="false" outlineLevel="0" collapsed="false">
      <c r="D25" s="19" t="n">
        <f aca="false">calc!$F$25</f>
        <v>11.5</v>
      </c>
      <c r="E25" s="19" t="n">
        <f aca="false">calc!$J$25</f>
        <v>3.56330347955699</v>
      </c>
      <c r="F25" s="45" t="str">
        <f aca="false">INT(ABS(E25)) &amp; ":" &amp;ROUND(60*(ABS(E25)-INT(ABS(E25))),0)</f>
        <v>3:34</v>
      </c>
    </row>
    <row r="26" customFormat="false" ht="15" hidden="false" customHeight="false" outlineLevel="0" collapsed="false">
      <c r="D26" s="19" t="n">
        <f aca="false">calc!$F$26</f>
        <v>12</v>
      </c>
      <c r="E26" s="19" t="n">
        <f aca="false">calc!$J$26</f>
        <v>3.56237200732292</v>
      </c>
      <c r="F26" s="45" t="str">
        <f aca="false">INT(ABS(E26)) &amp; ":" &amp;ROUND(60*(ABS(E26)-INT(ABS(E26))),0)</f>
        <v>3:34</v>
      </c>
    </row>
    <row r="27" customFormat="false" ht="15" hidden="false" customHeight="false" outlineLevel="0" collapsed="false">
      <c r="D27" s="19" t="n">
        <f aca="false">calc!$F$27</f>
        <v>12.5</v>
      </c>
      <c r="E27" s="19" t="n">
        <f aca="false">calc!$J$27</f>
        <v>3.56143656197435</v>
      </c>
      <c r="F27" s="45" t="str">
        <f aca="false">INT(ABS(E27)) &amp; ":" &amp;ROUND(60*(ABS(E27)-INT(ABS(E27))),0)</f>
        <v>3:34</v>
      </c>
    </row>
    <row r="28" customFormat="false" ht="15" hidden="false" customHeight="false" outlineLevel="0" collapsed="false">
      <c r="D28" s="19" t="n">
        <f aca="false">calc!$F$28</f>
        <v>13</v>
      </c>
      <c r="E28" s="19" t="n">
        <f aca="false">calc!$J$28</f>
        <v>3.56049714446956</v>
      </c>
      <c r="F28" s="45" t="str">
        <f aca="false">INT(ABS(E28)) &amp; ":" &amp;ROUND(60*(ABS(E28)-INT(ABS(E28))),0)</f>
        <v>3:34</v>
      </c>
    </row>
    <row r="29" customFormat="false" ht="15" hidden="false" customHeight="false" outlineLevel="0" collapsed="false">
      <c r="D29" s="19" t="n">
        <f aca="false">calc!$F$29</f>
        <v>13.5</v>
      </c>
      <c r="E29" s="19" t="n">
        <f aca="false">calc!$J$29</f>
        <v>3.55955375570673</v>
      </c>
      <c r="F29" s="45" t="str">
        <f aca="false">INT(ABS(E29)) &amp; ":" &amp;ROUND(60*(ABS(E29)-INT(ABS(E29))),0)</f>
        <v>3:34</v>
      </c>
    </row>
    <row r="30" customFormat="false" ht="15" hidden="false" customHeight="false" outlineLevel="0" collapsed="false">
      <c r="D30" s="19" t="n">
        <f aca="false">calc!$F$30</f>
        <v>14</v>
      </c>
      <c r="E30" s="19" t="n">
        <f aca="false">calc!$J$30</f>
        <v>3.55860639664942</v>
      </c>
      <c r="F30" s="45" t="str">
        <f aca="false">INT(ABS(E30)) &amp; ":" &amp;ROUND(60*(ABS(E30)-INT(ABS(E30))),0)</f>
        <v>3:34</v>
      </c>
    </row>
    <row r="31" customFormat="false" ht="15" hidden="false" customHeight="false" outlineLevel="0" collapsed="false">
      <c r="D31" s="19" t="n">
        <f aca="false">calc!$F$31</f>
        <v>14.5</v>
      </c>
      <c r="E31" s="19" t="n">
        <f aca="false">calc!$J$31</f>
        <v>3.55765506826387</v>
      </c>
      <c r="F31" s="45" t="str">
        <f aca="false">INT(ABS(E31)) &amp; ":" &amp;ROUND(60*(ABS(E31)-INT(ABS(E31))),0)</f>
        <v>3:33</v>
      </c>
    </row>
    <row r="32" customFormat="false" ht="15" hidden="false" customHeight="false" outlineLevel="0" collapsed="false">
      <c r="D32" s="19" t="n">
        <f aca="false">calc!$F$32</f>
        <v>15</v>
      </c>
      <c r="E32" s="19" t="n">
        <f aca="false">calc!$J$32</f>
        <v>3.55669977145538</v>
      </c>
      <c r="F32" s="45" t="str">
        <f aca="false">INT(ABS(E32)) &amp; ":" &amp;ROUND(60*(ABS(E32)-INT(ABS(E32))),0)</f>
        <v>3:33</v>
      </c>
    </row>
    <row r="33" customFormat="false" ht="15" hidden="false" customHeight="false" outlineLevel="0" collapsed="false">
      <c r="D33" s="19" t="n">
        <f aca="false">calc!$F$33</f>
        <v>15.5</v>
      </c>
      <c r="E33" s="19" t="n">
        <f aca="false">calc!$J$33</f>
        <v>3.55574050719542</v>
      </c>
      <c r="F33" s="45" t="str">
        <f aca="false">INT(ABS(E33)) &amp; ":" &amp;ROUND(60*(ABS(E33)-INT(ABS(E33))),0)</f>
        <v>3:33</v>
      </c>
    </row>
    <row r="34" customFormat="false" ht="15" hidden="false" customHeight="false" outlineLevel="0" collapsed="false">
      <c r="D34" s="19" t="n">
        <f aca="false">calc!$F$34</f>
        <v>16</v>
      </c>
      <c r="E34" s="19" t="n">
        <f aca="false">calc!$J$34</f>
        <v>3.55477727645825</v>
      </c>
      <c r="F34" s="45" t="str">
        <f aca="false">INT(ABS(E34)) &amp; ":" &amp;ROUND(60*(ABS(E34)-INT(ABS(E34))),0)</f>
        <v>3:33</v>
      </c>
    </row>
    <row r="35" customFormat="false" ht="15" hidden="false" customHeight="false" outlineLevel="0" collapsed="false">
      <c r="D35" s="19" t="n">
        <f aca="false">calc!$F$35</f>
        <v>16.5</v>
      </c>
      <c r="E35" s="19" t="n">
        <f aca="false">calc!$J$35</f>
        <v>3.55381008015615</v>
      </c>
      <c r="F35" s="45" t="str">
        <f aca="false">INT(ABS(E35)) &amp; ":" &amp;ROUND(60*(ABS(E35)-INT(ABS(E35))),0)</f>
        <v>3:33</v>
      </c>
    </row>
    <row r="36" customFormat="false" ht="15" hidden="false" customHeight="false" outlineLevel="0" collapsed="false">
      <c r="D36" s="19" t="n">
        <f aca="false">calc!$F$36</f>
        <v>17</v>
      </c>
      <c r="E36" s="19" t="n">
        <f aca="false">calc!$J$36</f>
        <v>3.55283891926845</v>
      </c>
      <c r="F36" s="45" t="str">
        <f aca="false">INT(ABS(E36)) &amp; ":" &amp;ROUND(60*(ABS(E36)-INT(ABS(E36))),0)</f>
        <v>3:33</v>
      </c>
    </row>
    <row r="37" customFormat="false" ht="15" hidden="false" customHeight="false" outlineLevel="0" collapsed="false">
      <c r="D37" s="19" t="n">
        <f aca="false">calc!$F$37</f>
        <v>17.5</v>
      </c>
      <c r="E37" s="19" t="n">
        <f aca="false">calc!$J$37</f>
        <v>3.55186379477769</v>
      </c>
      <c r="F37" s="45" t="str">
        <f aca="false">INT(ABS(E37)) &amp; ":" &amp;ROUND(60*(ABS(E37)-INT(ABS(E37))),0)</f>
        <v>3:33</v>
      </c>
    </row>
    <row r="38" customFormat="false" ht="15" hidden="false" customHeight="false" outlineLevel="0" collapsed="false">
      <c r="D38" s="19" t="n">
        <f aca="false">calc!$F$38</f>
        <v>18</v>
      </c>
      <c r="E38" s="19" t="n">
        <f aca="false">calc!$J$38</f>
        <v>3.55088470760299</v>
      </c>
      <c r="F38" s="45" t="str">
        <f aca="false">INT(ABS(E38)) &amp; ":" &amp;ROUND(60*(ABS(E38)-INT(ABS(E38))),0)</f>
        <v>3:33</v>
      </c>
    </row>
    <row r="39" customFormat="false" ht="15" hidden="false" customHeight="false" outlineLevel="0" collapsed="false">
      <c r="D39" s="19" t="n">
        <f aca="false">calc!$F$39</f>
        <v>18.5</v>
      </c>
      <c r="E39" s="19" t="n">
        <f aca="false">calc!$J$39</f>
        <v>3.54990165873173</v>
      </c>
      <c r="F39" s="45" t="str">
        <f aca="false">INT(ABS(E39)) &amp; ":" &amp;ROUND(60*(ABS(E39)-INT(ABS(E39))),0)</f>
        <v>3:33</v>
      </c>
    </row>
    <row r="40" customFormat="false" ht="15" hidden="false" customHeight="false" outlineLevel="0" collapsed="false">
      <c r="D40" s="19" t="n">
        <f aca="false">calc!$F$40</f>
        <v>19</v>
      </c>
      <c r="E40" s="19" t="n">
        <f aca="false">calc!$J$40</f>
        <v>3.54891464915414</v>
      </c>
      <c r="F40" s="45" t="str">
        <f aca="false">INT(ABS(E40)) &amp; ":" &amp;ROUND(60*(ABS(E40)-INT(ABS(E40))),0)</f>
        <v>3:33</v>
      </c>
    </row>
    <row r="41" customFormat="false" ht="15" hidden="false" customHeight="false" outlineLevel="0" collapsed="false">
      <c r="D41" s="19" t="n">
        <f aca="false">calc!$F$41</f>
        <v>19.5</v>
      </c>
      <c r="E41" s="19" t="n">
        <f aca="false">calc!$J$41</f>
        <v>3.5479236797967</v>
      </c>
      <c r="F41" s="45" t="str">
        <f aca="false">INT(ABS(E41)) &amp; ":" &amp;ROUND(60*(ABS(E41)-INT(ABS(E41))),0)</f>
        <v>3:33</v>
      </c>
    </row>
    <row r="42" customFormat="false" ht="15" hidden="false" customHeight="false" outlineLevel="0" collapsed="false">
      <c r="D42" s="19" t="n">
        <f aca="false">calc!$F$42</f>
        <v>20</v>
      </c>
      <c r="E42" s="19" t="n">
        <f aca="false">calc!$J$42</f>
        <v>3.54692875165478</v>
      </c>
      <c r="F42" s="45" t="str">
        <f aca="false">INT(ABS(E42)) &amp; ":" &amp;ROUND(60*(ABS(E42)-INT(ABS(E42))),0)</f>
        <v>3:33</v>
      </c>
    </row>
    <row r="43" customFormat="false" ht="15" hidden="false" customHeight="false" outlineLevel="0" collapsed="false">
      <c r="D43" s="19" t="n">
        <f aca="false">calc!$F$43</f>
        <v>20.5</v>
      </c>
      <c r="E43" s="19" t="n">
        <f aca="false">calc!$J$43</f>
        <v>3.54592986572615</v>
      </c>
      <c r="F43" s="45" t="str">
        <f aca="false">INT(ABS(E43)) &amp; ":" &amp;ROUND(60*(ABS(E43)-INT(ABS(E43))),0)</f>
        <v>3:33</v>
      </c>
    </row>
    <row r="44" customFormat="false" ht="15" hidden="false" customHeight="false" outlineLevel="0" collapsed="false">
      <c r="D44" s="19" t="n">
        <f aca="false">calc!$F$44</f>
        <v>21</v>
      </c>
      <c r="E44" s="19" t="n">
        <f aca="false">calc!$J$44</f>
        <v>3.54492702294482</v>
      </c>
      <c r="F44" s="45" t="str">
        <f aca="false">INT(ABS(E44)) &amp; ":" &amp;ROUND(60*(ABS(E44)-INT(ABS(E44))),0)</f>
        <v>3:33</v>
      </c>
    </row>
    <row r="45" customFormat="false" ht="15" hidden="false" customHeight="false" outlineLevel="0" collapsed="false">
      <c r="D45" s="19" t="n">
        <f aca="false">calc!$F$45</f>
        <v>21.5</v>
      </c>
      <c r="E45" s="19" t="n">
        <f aca="false">calc!$J$45</f>
        <v>3.54392022431378</v>
      </c>
      <c r="F45" s="45" t="str">
        <f aca="false">INT(ABS(E45)) &amp; ":" &amp;ROUND(60*(ABS(E45)-INT(ABS(E45))),0)</f>
        <v>3:33</v>
      </c>
    </row>
    <row r="46" customFormat="false" ht="15" hidden="false" customHeight="false" outlineLevel="0" collapsed="false">
      <c r="D46" s="19" t="n">
        <f aca="false">calc!$F$46</f>
        <v>22</v>
      </c>
      <c r="E46" s="19" t="n">
        <f aca="false">calc!$J$46</f>
        <v>3.54290947083911</v>
      </c>
      <c r="F46" s="45" t="str">
        <f aca="false">INT(ABS(E46)) &amp; ":" &amp;ROUND(60*(ABS(E46)-INT(ABS(E46))),0)</f>
        <v>3:33</v>
      </c>
    </row>
    <row r="47" customFormat="false" ht="15" hidden="false" customHeight="false" outlineLevel="0" collapsed="false">
      <c r="D47" s="19" t="n">
        <f aca="false">calc!$F$47</f>
        <v>22.5</v>
      </c>
      <c r="E47" s="19" t="n">
        <f aca="false">calc!$J$47</f>
        <v>3.54189476346158</v>
      </c>
      <c r="F47" s="45" t="str">
        <f aca="false">INT(ABS(E47)) &amp; ":" &amp;ROUND(60*(ABS(E47)-INT(ABS(E47))),0)</f>
        <v>3:33</v>
      </c>
    </row>
    <row r="48" customFormat="false" ht="15" hidden="false" customHeight="false" outlineLevel="0" collapsed="false">
      <c r="D48" s="19" t="n">
        <f aca="false">calc!$F$48</f>
        <v>23</v>
      </c>
      <c r="E48" s="19" t="n">
        <f aca="false">calc!$J$48</f>
        <v>3.54087610319223</v>
      </c>
      <c r="F48" s="45" t="str">
        <f aca="false">INT(ABS(E48)) &amp; ":" &amp;ROUND(60*(ABS(E48)-INT(ABS(E48))),0)</f>
        <v>3:32</v>
      </c>
    </row>
    <row r="49" customFormat="false" ht="15" hidden="false" customHeight="false" outlineLevel="0" collapsed="false">
      <c r="D49" s="19" t="n">
        <f aca="false">calc!$F$49</f>
        <v>23.5</v>
      </c>
      <c r="E49" s="19" t="n">
        <f aca="false">calc!$J$49</f>
        <v>3.53985349104508</v>
      </c>
      <c r="F49" s="45" t="str">
        <f aca="false">INT(ABS(E49)) &amp; ":" &amp;ROUND(60*(ABS(E49)-INT(ABS(E49))),0)</f>
        <v>3:32</v>
      </c>
    </row>
    <row r="50" customFormat="false" ht="15" hidden="false" customHeight="false" outlineLevel="0" collapsed="false">
      <c r="D50" s="19" t="n">
        <f aca="false">calc!$F$50</f>
        <v>24</v>
      </c>
      <c r="E50" s="19" t="n">
        <f aca="false">calc!$J$50</f>
        <v>3.5388269279679</v>
      </c>
      <c r="F50" s="45" t="str">
        <f aca="false">INT(ABS(E50)) &amp; ":" &amp;ROUND(60*(ABS(E50)-INT(ABS(E50))),0)</f>
        <v>3:32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&amp;C&amp;10Seite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0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J12" activeCellId="0" sqref="J12"/>
    </sheetView>
  </sheetViews>
  <sheetFormatPr defaultColWidth="9.58984375" defaultRowHeight="15" zeroHeight="false" outlineLevelRow="0" outlineLevelCol="0"/>
  <cols>
    <col collapsed="false" customWidth="false" hidden="false" outlineLevel="0" max="3" min="1" style="1" width="9.57"/>
    <col collapsed="false" customWidth="true" hidden="false" outlineLevel="0" max="4" min="4" style="5" width="8"/>
    <col collapsed="false" customWidth="true" hidden="false" outlineLevel="0" max="5" min="5" style="47" width="8"/>
    <col collapsed="false" customWidth="true" hidden="false" outlineLevel="0" max="6" min="6" style="48" width="5.59"/>
    <col collapsed="false" customWidth="true" hidden="false" outlineLevel="0" max="7" min="7" style="48" width="5.96"/>
    <col collapsed="false" customWidth="false" hidden="false" outlineLevel="0" max="8" min="8" style="5" width="9.57"/>
    <col collapsed="false" customWidth="true" hidden="false" outlineLevel="0" max="10" min="9" style="7" width="6.32"/>
    <col collapsed="false" customWidth="false" hidden="false" outlineLevel="0" max="64" min="11" style="1" width="9.57"/>
  </cols>
  <sheetData>
    <row r="1" s="42" customFormat="true" ht="15" hidden="false" customHeight="false" outlineLevel="0" collapsed="false">
      <c r="A1" s="2" t="str">
        <f aca="false">calc!$A$1</f>
        <v>Date</v>
      </c>
      <c r="B1" s="2" t="str">
        <f aca="false">calc!$B$1</f>
        <v>Month</v>
      </c>
      <c r="C1" s="2" t="str">
        <f aca="false">calc!$C$1</f>
        <v>Year</v>
      </c>
      <c r="D1" s="39" t="str">
        <f aca="false">calc!$F$1</f>
        <v>UT</v>
      </c>
      <c r="E1" s="49" t="str">
        <f aca="false">calc!$U$1</f>
        <v>delta</v>
      </c>
      <c r="F1" s="48" t="s">
        <v>38</v>
      </c>
      <c r="G1" s="48" t="s">
        <v>39</v>
      </c>
      <c r="H1" s="7" t="str">
        <f aca="false">calc!$AC$1</f>
        <v>Dist / AU</v>
      </c>
      <c r="I1" s="7" t="s">
        <v>38</v>
      </c>
      <c r="J1" s="7" t="s">
        <v>39</v>
      </c>
    </row>
    <row r="2" customFormat="false" ht="15" hidden="false" customHeight="false" outlineLevel="0" collapsed="false">
      <c r="A2" s="35" t="n">
        <f aca="false">calc!$A$2</f>
        <v>19</v>
      </c>
      <c r="B2" s="35" t="n">
        <f aca="false">calc!$B$2</f>
        <v>5</v>
      </c>
      <c r="C2" s="35" t="n">
        <f aca="false">calc!$C$2</f>
        <v>1991</v>
      </c>
      <c r="D2" s="19" t="n">
        <f aca="false">calc!$F$2</f>
        <v>0</v>
      </c>
      <c r="E2" s="47" t="n">
        <f aca="false">calc!$U$2</f>
        <v>19.6123271615258</v>
      </c>
      <c r="H2" s="21" t="n">
        <f aca="false">calc!$AC$2</f>
        <v>1.01161944898025</v>
      </c>
    </row>
    <row r="3" customFormat="false" ht="15" hidden="false" customHeight="false" outlineLevel="0" collapsed="false">
      <c r="A3" s="5"/>
      <c r="B3" s="5"/>
      <c r="C3" s="32" t="str">
        <f aca="false">calc!$C$3</f>
        <v>common year</v>
      </c>
      <c r="D3" s="19" t="n">
        <f aca="false">calc!$F$3</f>
        <v>0.5</v>
      </c>
      <c r="E3" s="47" t="n">
        <f aca="false">calc!$U$3</f>
        <v>19.6168728171354</v>
      </c>
      <c r="F3" s="48" t="str">
        <f aca="false">IF(AND(E3&gt;E2,E3&gt;E4),"max","")</f>
        <v/>
      </c>
      <c r="G3" s="48" t="str">
        <f aca="false">IF(AND(E3&lt;E2,E3&lt;E4),"min","")</f>
        <v/>
      </c>
      <c r="H3" s="21" t="n">
        <f aca="false">calc!$AC$3</f>
        <v>1.01162357125382</v>
      </c>
      <c r="I3" s="7" t="str">
        <f aca="false">IF(AND(H2&lt;H3,H4&lt;H3),"max","")</f>
        <v/>
      </c>
      <c r="J3" s="7" t="str">
        <f aca="false">IF(AND(H2&gt;H3,H4&gt;H2),"min","")</f>
        <v/>
      </c>
    </row>
    <row r="4" customFormat="false" ht="15" hidden="false" customHeight="false" outlineLevel="0" collapsed="false">
      <c r="A4" s="32" t="s">
        <v>31</v>
      </c>
      <c r="B4" s="32" t="s">
        <v>31</v>
      </c>
      <c r="C4" s="32" t="s">
        <v>31</v>
      </c>
      <c r="D4" s="19" t="n">
        <f aca="false">calc!$F$4</f>
        <v>1</v>
      </c>
      <c r="E4" s="47" t="n">
        <f aca="false">calc!$U$4</f>
        <v>19.6214160591534</v>
      </c>
      <c r="F4" s="48" t="str">
        <f aca="false">IF(AND(E4&gt;E3,E4&gt;E5),"max","")</f>
        <v/>
      </c>
      <c r="G4" s="48" t="str">
        <f aca="false">IF(AND(E4&lt;E3,E4&lt;E5),"min","")</f>
        <v/>
      </c>
      <c r="H4" s="21" t="n">
        <f aca="false">calc!$AC$4</f>
        <v>1.01162769176419</v>
      </c>
      <c r="I4" s="7" t="str">
        <f aca="false">IF(AND(H3&lt;H4,H5&lt;H4),"max","")</f>
        <v/>
      </c>
      <c r="J4" s="7" t="str">
        <f aca="false">IF(AND(H3&gt;H4,H5&gt;H3),"min","")</f>
        <v/>
      </c>
    </row>
    <row r="5" customFormat="false" ht="15" hidden="false" customHeight="false" outlineLevel="0" collapsed="false">
      <c r="D5" s="19" t="n">
        <f aca="false">calc!$F$5</f>
        <v>1.5</v>
      </c>
      <c r="E5" s="47" t="n">
        <f aca="false">calc!$U$5</f>
        <v>19.6259568871268</v>
      </c>
      <c r="F5" s="48" t="str">
        <f aca="false">IF(AND(E5&gt;E4,E5&gt;E6),"max","")</f>
        <v/>
      </c>
      <c r="G5" s="48" t="str">
        <f aca="false">IF(AND(E5&lt;E4,E5&lt;E6),"min","")</f>
        <v/>
      </c>
      <c r="H5" s="21" t="n">
        <f aca="false">calc!$AC$5</f>
        <v>1.01163181051409</v>
      </c>
      <c r="I5" s="7" t="str">
        <f aca="false">IF(AND(H4&lt;H5,H6&lt;H5),"max","")</f>
        <v/>
      </c>
      <c r="J5" s="7" t="str">
        <f aca="false">IF(AND(H4&gt;H5,H6&gt;H4),"min","")</f>
        <v/>
      </c>
    </row>
    <row r="6" customFormat="false" ht="15" hidden="false" customHeight="false" outlineLevel="0" collapsed="false">
      <c r="D6" s="19" t="n">
        <f aca="false">calc!$F$6</f>
        <v>2</v>
      </c>
      <c r="E6" s="47" t="n">
        <f aca="false">calc!$U$6</f>
        <v>19.6304953002979</v>
      </c>
      <c r="F6" s="48" t="str">
        <f aca="false">IF(AND(E6&gt;E5,E6&gt;E7),"max","")</f>
        <v/>
      </c>
      <c r="G6" s="48" t="str">
        <f aca="false">IF(AND(E6&lt;E5,E6&lt;E7),"min","")</f>
        <v/>
      </c>
      <c r="H6" s="21" t="n">
        <f aca="false">calc!$AC$6</f>
        <v>1.01163592750598</v>
      </c>
      <c r="I6" s="7" t="str">
        <f aca="false">IF(AND(H5&lt;H6,H7&lt;H6),"max","")</f>
        <v/>
      </c>
      <c r="J6" s="7" t="str">
        <f aca="false">IF(AND(H5&gt;H6,H7&gt;H5),"min","")</f>
        <v/>
      </c>
    </row>
    <row r="7" customFormat="false" ht="15" hidden="false" customHeight="false" outlineLevel="0" collapsed="false">
      <c r="D7" s="19" t="n">
        <f aca="false">calc!$F$7</f>
        <v>2.5</v>
      </c>
      <c r="E7" s="47" t="n">
        <f aca="false">calc!$U$7</f>
        <v>19.6350312979099</v>
      </c>
      <c r="F7" s="48" t="str">
        <f aca="false">IF(AND(E7&gt;E6,E7&gt;E8),"max","")</f>
        <v/>
      </c>
      <c r="G7" s="48" t="str">
        <f aca="false">IF(AND(E7&lt;E6,E7&lt;E8),"min","")</f>
        <v/>
      </c>
      <c r="H7" s="21" t="n">
        <f aca="false">calc!$AC$7</f>
        <v>1.01164004274233</v>
      </c>
      <c r="I7" s="7" t="str">
        <f aca="false">IF(AND(H6&lt;H7,H8&lt;H7),"max","")</f>
        <v/>
      </c>
      <c r="J7" s="7" t="str">
        <f aca="false">IF(AND(H6&gt;H7,H8&gt;H6),"min","")</f>
        <v/>
      </c>
    </row>
    <row r="8" customFormat="false" ht="15" hidden="false" customHeight="false" outlineLevel="0" collapsed="false">
      <c r="D8" s="19" t="n">
        <f aca="false">calc!$F$8</f>
        <v>3</v>
      </c>
      <c r="E8" s="47" t="n">
        <f aca="false">calc!$U$8</f>
        <v>19.6395648795099</v>
      </c>
      <c r="F8" s="48" t="str">
        <f aca="false">IF(AND(E8&gt;E7,E8&gt;E9),"max","")</f>
        <v/>
      </c>
      <c r="G8" s="48" t="str">
        <f aca="false">IF(AND(E8&lt;E7,E8&lt;E9),"min","")</f>
        <v/>
      </c>
      <c r="H8" s="21" t="n">
        <f aca="false">calc!$AC$8</f>
        <v>1.01164415622587</v>
      </c>
      <c r="I8" s="7" t="str">
        <f aca="false">IF(AND(H7&lt;H8,H9&lt;H8),"max","")</f>
        <v/>
      </c>
      <c r="J8" s="7" t="str">
        <f aca="false">IF(AND(H7&gt;H8,H9&gt;H7),"min","")</f>
        <v/>
      </c>
    </row>
    <row r="9" customFormat="false" ht="15" hidden="false" customHeight="false" outlineLevel="0" collapsed="false">
      <c r="D9" s="19" t="n">
        <f aca="false">calc!$F$9</f>
        <v>3.5</v>
      </c>
      <c r="E9" s="47" t="n">
        <f aca="false">calc!$U$9</f>
        <v>19.644096044341</v>
      </c>
      <c r="F9" s="48" t="str">
        <f aca="false">IF(AND(E9&gt;E8,E9&gt;E10),"max","")</f>
        <v/>
      </c>
      <c r="G9" s="48" t="str">
        <f aca="false">IF(AND(E9&lt;E8,E9&lt;E10),"min","")</f>
        <v/>
      </c>
      <c r="H9" s="21" t="n">
        <f aca="false">calc!$AC$9</f>
        <v>1.01164826795909</v>
      </c>
      <c r="I9" s="7" t="str">
        <f aca="false">IF(AND(H8&lt;H9,H10&lt;H9),"max","")</f>
        <v/>
      </c>
      <c r="J9" s="7" t="str">
        <f aca="false">IF(AND(H8&gt;H9,H10&gt;H8),"min","")</f>
        <v/>
      </c>
    </row>
    <row r="10" customFormat="false" ht="15" hidden="false" customHeight="false" outlineLevel="0" collapsed="false">
      <c r="D10" s="19" t="n">
        <f aca="false">calc!$F$10</f>
        <v>4</v>
      </c>
      <c r="E10" s="47" t="n">
        <f aca="false">calc!$U$10</f>
        <v>19.6486247916474</v>
      </c>
      <c r="F10" s="48" t="str">
        <f aca="false">IF(AND(E10&gt;E9,E10&gt;E11),"max","")</f>
        <v/>
      </c>
      <c r="G10" s="48" t="str">
        <f aca="false">IF(AND(E10&lt;E9,E10&lt;E11),"min","")</f>
        <v/>
      </c>
      <c r="H10" s="21" t="n">
        <f aca="false">calc!$AC$10</f>
        <v>1.01165237794446</v>
      </c>
      <c r="I10" s="7" t="str">
        <f aca="false">IF(AND(H9&lt;H10,H11&lt;H10),"max","")</f>
        <v/>
      </c>
      <c r="J10" s="7" t="str">
        <f aca="false">IF(AND(H9&gt;H10,H11&gt;H9),"min","")</f>
        <v/>
      </c>
    </row>
    <row r="11" customFormat="false" ht="15" hidden="false" customHeight="false" outlineLevel="0" collapsed="false">
      <c r="D11" s="19" t="n">
        <f aca="false">calc!$F$11</f>
        <v>4.5</v>
      </c>
      <c r="E11" s="47" t="n">
        <f aca="false">calc!$U$11</f>
        <v>19.6531511209765</v>
      </c>
      <c r="F11" s="48" t="str">
        <f aca="false">IF(AND(E11&gt;E10,E11&gt;E12),"max","")</f>
        <v/>
      </c>
      <c r="G11" s="48" t="str">
        <f aca="false">IF(AND(E11&lt;E10,E11&lt;E12),"min","")</f>
        <v/>
      </c>
      <c r="H11" s="21" t="n">
        <f aca="false">calc!$AC$11</f>
        <v>1.01165648618474</v>
      </c>
      <c r="I11" s="7" t="str">
        <f aca="false">IF(AND(H10&lt;H11,H12&lt;H11),"max","")</f>
        <v/>
      </c>
      <c r="J11" s="7" t="str">
        <f aca="false">IF(AND(H10&gt;H11,H12&gt;H10),"min","")</f>
        <v/>
      </c>
    </row>
    <row r="12" customFormat="false" ht="15" hidden="false" customHeight="false" outlineLevel="0" collapsed="false">
      <c r="D12" s="19" t="n">
        <f aca="false">calc!$F$12</f>
        <v>5</v>
      </c>
      <c r="E12" s="47" t="n">
        <f aca="false">calc!$U$12</f>
        <v>19.6576750315728</v>
      </c>
      <c r="F12" s="48" t="str">
        <f aca="false">IF(AND(E12&gt;E11,E12&gt;E13),"max","")</f>
        <v/>
      </c>
      <c r="G12" s="48" t="str">
        <f aca="false">IF(AND(E12&lt;E11,E12&lt;E13),"min","")</f>
        <v/>
      </c>
      <c r="H12" s="21" t="n">
        <f aca="false">calc!$AC$12</f>
        <v>1.01166059268243</v>
      </c>
      <c r="I12" s="7" t="str">
        <f aca="false">IF(AND(H11&lt;H12,H13&lt;H12),"max","")</f>
        <v/>
      </c>
      <c r="J12" s="7" t="str">
        <f aca="false">IF(AND(H11&gt;H12,H13&gt;H11),"min","")</f>
        <v/>
      </c>
    </row>
    <row r="13" customFormat="false" ht="15" hidden="false" customHeight="false" outlineLevel="0" collapsed="false">
      <c r="D13" s="19" t="n">
        <f aca="false">calc!$F$13</f>
        <v>5.5</v>
      </c>
      <c r="E13" s="47" t="n">
        <f aca="false">calc!$U$13</f>
        <v>19.6621965226807</v>
      </c>
      <c r="F13" s="48" t="str">
        <f aca="false">IF(AND(E13&gt;E12,E13&gt;E14),"max","")</f>
        <v/>
      </c>
      <c r="G13" s="48" t="str">
        <f aca="false">IF(AND(E13&lt;E12,E13&lt;E14),"min","")</f>
        <v/>
      </c>
      <c r="H13" s="21" t="n">
        <f aca="false">calc!$AC$13</f>
        <v>1.01166469744002</v>
      </c>
      <c r="I13" s="7" t="str">
        <f aca="false">IF(AND(H12&lt;H13,H14&lt;H13),"max","")</f>
        <v/>
      </c>
      <c r="J13" s="7" t="str">
        <f aca="false">IF(AND(H12&gt;H13,H14&gt;H12),"min","")</f>
        <v/>
      </c>
    </row>
    <row r="14" customFormat="false" ht="15" hidden="false" customHeight="false" outlineLevel="0" collapsed="false">
      <c r="D14" s="19" t="n">
        <f aca="false">calc!$F$14</f>
        <v>6</v>
      </c>
      <c r="E14" s="47" t="n">
        <f aca="false">calc!$U$14</f>
        <v>19.6667155938487</v>
      </c>
      <c r="F14" s="48" t="str">
        <f aca="false">IF(AND(E14&gt;E13,E14&gt;E15),"max","")</f>
        <v/>
      </c>
      <c r="G14" s="48" t="str">
        <f aca="false">IF(AND(E14&lt;E13,E14&lt;E15),"min","")</f>
        <v/>
      </c>
      <c r="H14" s="21" t="n">
        <f aca="false">calc!$AC$14</f>
        <v>1.01166880046028</v>
      </c>
      <c r="I14" s="7" t="str">
        <f aca="false">IF(AND(H13&lt;H14,H15&lt;H14),"max","")</f>
        <v/>
      </c>
      <c r="J14" s="7" t="str">
        <f aca="false">IF(AND(H13&gt;H14,H15&gt;H13),"min","")</f>
        <v/>
      </c>
    </row>
    <row r="15" customFormat="false" ht="15" hidden="false" customHeight="false" outlineLevel="0" collapsed="false">
      <c r="D15" s="19" t="n">
        <f aca="false">calc!$F$15</f>
        <v>6.5</v>
      </c>
      <c r="E15" s="47" t="n">
        <f aca="false">calc!$U$15</f>
        <v>19.6712322443219</v>
      </c>
      <c r="F15" s="48" t="str">
        <f aca="false">IF(AND(E15&gt;E14,E15&gt;E16),"max","")</f>
        <v/>
      </c>
      <c r="G15" s="48" t="str">
        <f aca="false">IF(AND(E15&lt;E14,E15&lt;E16),"min","")</f>
        <v/>
      </c>
      <c r="H15" s="21" t="n">
        <f aca="false">calc!$AC$15</f>
        <v>1.01167290174572</v>
      </c>
      <c r="I15" s="7" t="str">
        <f aca="false">IF(AND(H14&lt;H15,H16&lt;H15),"max","")</f>
        <v/>
      </c>
      <c r="J15" s="7" t="str">
        <f aca="false">IF(AND(H14&gt;H15,H16&gt;H14),"min","")</f>
        <v/>
      </c>
    </row>
    <row r="16" customFormat="false" ht="15" hidden="false" customHeight="false" outlineLevel="0" collapsed="false">
      <c r="D16" s="19" t="n">
        <f aca="false">calc!$F$16</f>
        <v>7</v>
      </c>
      <c r="E16" s="47" t="n">
        <f aca="false">calc!$U$16</f>
        <v>19.6757464733458</v>
      </c>
      <c r="F16" s="48" t="str">
        <f aca="false">IF(AND(E16&gt;E15,E16&gt;E17),"max","")</f>
        <v/>
      </c>
      <c r="G16" s="48" t="str">
        <f aca="false">IF(AND(E16&lt;E15,E16&lt;E17),"min","")</f>
        <v/>
      </c>
      <c r="H16" s="21" t="n">
        <f aca="false">calc!$AC$16</f>
        <v>1.01167700129885</v>
      </c>
      <c r="I16" s="7" t="str">
        <f aca="false">IF(AND(H15&lt;H16,H17&lt;H16),"max","")</f>
        <v/>
      </c>
      <c r="J16" s="7" t="str">
        <f aca="false">IF(AND(H15&gt;H16,H17&gt;H15),"min","")</f>
        <v/>
      </c>
    </row>
    <row r="17" customFormat="false" ht="15" hidden="false" customHeight="false" outlineLevel="0" collapsed="false">
      <c r="D17" s="19" t="n">
        <f aca="false">calc!$F$17</f>
        <v>7.5</v>
      </c>
      <c r="E17" s="47" t="n">
        <f aca="false">calc!$U$17</f>
        <v>19.6802582804691</v>
      </c>
      <c r="F17" s="48" t="str">
        <f aca="false">IF(AND(E17&gt;E16,E17&gt;E18),"max","")</f>
        <v/>
      </c>
      <c r="G17" s="48" t="str">
        <f aca="false">IF(AND(E17&lt;E16,E17&lt;E18),"min","")</f>
        <v/>
      </c>
      <c r="H17" s="21" t="n">
        <f aca="false">calc!$AC$17</f>
        <v>1.01168109912247</v>
      </c>
      <c r="I17" s="7" t="str">
        <f aca="false">IF(AND(H16&lt;H17,H18&lt;H17),"max","")</f>
        <v/>
      </c>
      <c r="J17" s="7" t="str">
        <f aca="false">IF(AND(H16&gt;H17,H18&gt;H16),"min","")</f>
        <v/>
      </c>
    </row>
    <row r="18" customFormat="false" ht="15" hidden="false" customHeight="false" outlineLevel="0" collapsed="false">
      <c r="D18" s="19" t="n">
        <f aca="false">calc!$F$18</f>
        <v>8</v>
      </c>
      <c r="E18" s="47" t="n">
        <f aca="false">calc!$U$18</f>
        <v>19.6847676649379</v>
      </c>
      <c r="F18" s="48" t="str">
        <f aca="false">IF(AND(E18&gt;E17,E18&gt;E19),"max","")</f>
        <v/>
      </c>
      <c r="G18" s="48" t="str">
        <f aca="false">IF(AND(E18&lt;E17,E18&lt;E19),"min","")</f>
        <v/>
      </c>
      <c r="H18" s="21" t="n">
        <f aca="false">calc!$AC$18</f>
        <v>1.01168519521908</v>
      </c>
      <c r="I18" s="7" t="str">
        <f aca="false">IF(AND(H17&lt;H18,H19&lt;H18),"max","")</f>
        <v/>
      </c>
      <c r="J18" s="7" t="str">
        <f aca="false">IF(AND(H17&gt;H18,H19&gt;H17),"min","")</f>
        <v/>
      </c>
    </row>
    <row r="19" customFormat="false" ht="15" hidden="false" customHeight="false" outlineLevel="0" collapsed="false">
      <c r="D19" s="19" t="n">
        <f aca="false">calc!$F$19</f>
        <v>8.5</v>
      </c>
      <c r="E19" s="47" t="n">
        <f aca="false">calc!$U$19</f>
        <v>19.6892746259988</v>
      </c>
      <c r="F19" s="48" t="str">
        <f aca="false">IF(AND(E19&gt;E18,E19&gt;E20),"max","")</f>
        <v/>
      </c>
      <c r="G19" s="48" t="str">
        <f aca="false">IF(AND(E19&lt;E18,E19&lt;E20),"min","")</f>
        <v/>
      </c>
      <c r="H19" s="21" t="n">
        <f aca="false">calc!$AC$19</f>
        <v>1.01168928959121</v>
      </c>
      <c r="I19" s="7" t="str">
        <f aca="false">IF(AND(H18&lt;H19,H20&lt;H19),"max","")</f>
        <v/>
      </c>
      <c r="J19" s="7" t="str">
        <f aca="false">IF(AND(H18&gt;H19,H20&gt;H18),"min","")</f>
        <v/>
      </c>
    </row>
    <row r="20" customFormat="false" ht="15" hidden="false" customHeight="false" outlineLevel="0" collapsed="false">
      <c r="D20" s="19" t="n">
        <f aca="false">calc!$F$20</f>
        <v>9</v>
      </c>
      <c r="E20" s="47" t="n">
        <f aca="false">calc!$U$20</f>
        <v>19.6937791632006</v>
      </c>
      <c r="F20" s="48" t="str">
        <f aca="false">IF(AND(E20&gt;E19,E20&gt;E21),"max","")</f>
        <v/>
      </c>
      <c r="G20" s="48" t="str">
        <f aca="false">IF(AND(E20&lt;E19,E20&lt;E21),"min","")</f>
        <v/>
      </c>
      <c r="H20" s="21" t="n">
        <f aca="false">calc!$AC$20</f>
        <v>1.01169338224167</v>
      </c>
      <c r="I20" s="7" t="str">
        <f aca="false">IF(AND(H19&lt;H20,H21&lt;H20),"max","")</f>
        <v/>
      </c>
      <c r="J20" s="7" t="str">
        <f aca="false">IF(AND(H19&gt;H20,H21&gt;H19),"min","")</f>
        <v/>
      </c>
    </row>
    <row r="21" customFormat="false" ht="15" hidden="false" customHeight="false" outlineLevel="0" collapsed="false">
      <c r="D21" s="19" t="n">
        <f aca="false">calc!$F$21</f>
        <v>9.5</v>
      </c>
      <c r="E21" s="47" t="n">
        <f aca="false">calc!$U$21</f>
        <v>19.6982812757905</v>
      </c>
      <c r="F21" s="48" t="str">
        <f aca="false">IF(AND(E21&gt;E20,E21&gt;E22),"max","")</f>
        <v/>
      </c>
      <c r="G21" s="48" t="str">
        <f aca="false">IF(AND(E21&lt;E20,E21&lt;E22),"min","")</f>
        <v/>
      </c>
      <c r="H21" s="21" t="n">
        <f aca="false">calc!$AC$21</f>
        <v>1.01169747317298</v>
      </c>
      <c r="I21" s="7" t="str">
        <f aca="false">IF(AND(H20&lt;H21,H22&lt;H21),"max","")</f>
        <v/>
      </c>
      <c r="J21" s="7" t="str">
        <f aca="false">IF(AND(H20&gt;H21,H22&gt;H20),"min","")</f>
        <v/>
      </c>
    </row>
    <row r="22" customFormat="false" ht="15" hidden="false" customHeight="false" outlineLevel="0" collapsed="false">
      <c r="D22" s="19" t="n">
        <f aca="false">calc!$F$22</f>
        <v>10</v>
      </c>
      <c r="E22" s="47" t="n">
        <f aca="false">calc!$U$22</f>
        <v>19.7027809630163</v>
      </c>
      <c r="F22" s="48" t="str">
        <f aca="false">IF(AND(E22&gt;E21,E22&gt;E23),"max","")</f>
        <v/>
      </c>
      <c r="G22" s="48" t="str">
        <f aca="false">IF(AND(E22&lt;E21,E22&lt;E23),"min","")</f>
        <v/>
      </c>
      <c r="H22" s="21" t="n">
        <f aca="false">calc!$AC$22</f>
        <v>1.01170156238769</v>
      </c>
      <c r="I22" s="7" t="str">
        <f aca="false">IF(AND(H21&lt;H22,H23&lt;H22),"max","")</f>
        <v/>
      </c>
      <c r="J22" s="7" t="str">
        <f aca="false">IF(AND(H21&gt;H22,H23&gt;H21),"min","")</f>
        <v/>
      </c>
    </row>
    <row r="23" customFormat="false" ht="15" hidden="false" customHeight="false" outlineLevel="0" collapsed="false">
      <c r="D23" s="19" t="n">
        <f aca="false">calc!$F$23</f>
        <v>10.5</v>
      </c>
      <c r="E23" s="47" t="n">
        <f aca="false">calc!$U$23</f>
        <v>19.7072782244268</v>
      </c>
      <c r="F23" s="48" t="str">
        <f aca="false">IF(AND(E23&gt;E22,E23&gt;E24),"max","")</f>
        <v/>
      </c>
      <c r="G23" s="48" t="str">
        <f aca="false">IF(AND(E23&lt;E22,E23&lt;E24),"min","")</f>
        <v/>
      </c>
      <c r="H23" s="21" t="n">
        <f aca="false">calc!$AC$23</f>
        <v>1.01170564988861</v>
      </c>
      <c r="I23" s="7" t="str">
        <f aca="false">IF(AND(H22&lt;H23,H24&lt;H23),"max","")</f>
        <v/>
      </c>
      <c r="J23" s="7" t="str">
        <f aca="false">IF(AND(H22&gt;H23,H24&gt;H22),"min","")</f>
        <v/>
      </c>
    </row>
    <row r="24" customFormat="false" ht="15" hidden="false" customHeight="false" outlineLevel="0" collapsed="false">
      <c r="D24" s="19" t="n">
        <f aca="false">calc!$F$24</f>
        <v>11</v>
      </c>
      <c r="E24" s="47" t="n">
        <f aca="false">calc!$U$24</f>
        <v>19.7117730592704</v>
      </c>
      <c r="F24" s="48" t="str">
        <f aca="false">IF(AND(E24&gt;E23,E24&gt;E25),"max","")</f>
        <v/>
      </c>
      <c r="G24" s="48" t="str">
        <f aca="false">IF(AND(E24&lt;E23,E24&lt;E25),"min","")</f>
        <v/>
      </c>
      <c r="H24" s="21" t="n">
        <f aca="false">calc!$AC$24</f>
        <v>1.01170973567828</v>
      </c>
      <c r="I24" s="7" t="str">
        <f aca="false">IF(AND(H23&lt;H24,H25&lt;H24),"max","")</f>
        <v/>
      </c>
      <c r="J24" s="7" t="str">
        <f aca="false">IF(AND(H23&gt;H24,H25&gt;H23),"min","")</f>
        <v/>
      </c>
    </row>
    <row r="25" customFormat="false" ht="15" hidden="false" customHeight="false" outlineLevel="0" collapsed="false">
      <c r="D25" s="19" t="n">
        <f aca="false">calc!$F$25</f>
        <v>11.5</v>
      </c>
      <c r="E25" s="47" t="n">
        <f aca="false">calc!$U$25</f>
        <v>19.7162654667954</v>
      </c>
      <c r="F25" s="48" t="str">
        <f aca="false">IF(AND(E25&gt;E24,E25&gt;E26),"max","")</f>
        <v/>
      </c>
      <c r="G25" s="48" t="str">
        <f aca="false">IF(AND(E25&lt;E24,E25&lt;E26),"min","")</f>
        <v/>
      </c>
      <c r="H25" s="21" t="n">
        <f aca="false">calc!$AC$25</f>
        <v>1.01171381975924</v>
      </c>
      <c r="I25" s="7" t="str">
        <f aca="false">IF(AND(H24&lt;H25,H26&lt;H25),"max","")</f>
        <v/>
      </c>
      <c r="J25" s="7" t="str">
        <f aca="false">IF(AND(H24&gt;H25,H26&gt;H24),"min","")</f>
        <v/>
      </c>
    </row>
    <row r="26" customFormat="false" ht="15" hidden="false" customHeight="false" outlineLevel="0" collapsed="false">
      <c r="D26" s="19" t="n">
        <f aca="false">calc!$F$26</f>
        <v>12</v>
      </c>
      <c r="E26" s="47" t="n">
        <f aca="false">calc!$U$26</f>
        <v>19.7207554465517</v>
      </c>
      <c r="F26" s="48" t="str">
        <f aca="false">IF(AND(E26&gt;E25,E26&gt;E27),"max","")</f>
        <v/>
      </c>
      <c r="G26" s="48" t="str">
        <f aca="false">IF(AND(E26&lt;E25,E26&lt;E27),"min","")</f>
        <v/>
      </c>
      <c r="H26" s="21" t="n">
        <f aca="false">calc!$AC$26</f>
        <v>1.01171790213434</v>
      </c>
      <c r="I26" s="7" t="str">
        <f aca="false">IF(AND(H25&lt;H26,H27&lt;H26),"max","")</f>
        <v/>
      </c>
      <c r="J26" s="7" t="str">
        <f aca="false">IF(AND(H25&gt;H26,H27&gt;H25),"min","")</f>
        <v/>
      </c>
    </row>
    <row r="27" customFormat="false" ht="15" hidden="false" customHeight="false" outlineLevel="0" collapsed="false">
      <c r="D27" s="19" t="n">
        <f aca="false">calc!$F$27</f>
        <v>12.5</v>
      </c>
      <c r="E27" s="47" t="n">
        <f aca="false">calc!$U$27</f>
        <v>19.7252429977884</v>
      </c>
      <c r="F27" s="48" t="str">
        <f aca="false">IF(AND(E27&gt;E26,E27&gt;E28),"max","")</f>
        <v/>
      </c>
      <c r="G27" s="48" t="str">
        <f aca="false">IF(AND(E27&lt;E26,E27&lt;E28),"min","")</f>
        <v/>
      </c>
      <c r="H27" s="21" t="n">
        <f aca="false">calc!$AC$27</f>
        <v>1.01172198280611</v>
      </c>
      <c r="I27" s="7" t="str">
        <f aca="false">IF(AND(H26&lt;H27,H28&lt;H27),"max","")</f>
        <v/>
      </c>
      <c r="J27" s="7" t="str">
        <f aca="false">IF(AND(H26&gt;H27,H28&gt;H26),"min","")</f>
        <v/>
      </c>
    </row>
    <row r="28" customFormat="false" ht="15" hidden="false" customHeight="false" outlineLevel="0" collapsed="false">
      <c r="D28" s="19" t="n">
        <f aca="false">calc!$F$28</f>
        <v>13</v>
      </c>
      <c r="E28" s="47" t="n">
        <f aca="false">calc!$U$28</f>
        <v>19.7297281197544</v>
      </c>
      <c r="F28" s="48" t="str">
        <f aca="false">IF(AND(E28&gt;E27,E28&gt;E29),"max","")</f>
        <v/>
      </c>
      <c r="G28" s="48" t="str">
        <f aca="false">IF(AND(E28&lt;E27,E28&lt;E29),"min","")</f>
        <v/>
      </c>
      <c r="H28" s="21" t="n">
        <f aca="false">calc!$AC$28</f>
        <v>1.01172606177712</v>
      </c>
      <c r="I28" s="7" t="str">
        <f aca="false">IF(AND(H27&lt;H28,H29&lt;H28),"max","")</f>
        <v/>
      </c>
      <c r="J28" s="7" t="str">
        <f aca="false">IF(AND(H27&gt;H28,H29&gt;H27),"min","")</f>
        <v/>
      </c>
    </row>
    <row r="29" customFormat="false" ht="15" hidden="false" customHeight="false" outlineLevel="0" collapsed="false">
      <c r="D29" s="19" t="n">
        <f aca="false">calc!$F$29</f>
        <v>13.5</v>
      </c>
      <c r="E29" s="47" t="n">
        <f aca="false">calc!$U$29</f>
        <v>19.7342108120005</v>
      </c>
      <c r="F29" s="48" t="str">
        <f aca="false">IF(AND(E29&gt;E28,E29&gt;E30),"max","")</f>
        <v/>
      </c>
      <c r="G29" s="48" t="str">
        <f aca="false">IF(AND(E29&lt;E28,E29&lt;E30),"min","")</f>
        <v/>
      </c>
      <c r="H29" s="21" t="n">
        <f aca="false">calc!$AC$29</f>
        <v>1.01173013905021</v>
      </c>
      <c r="I29" s="7" t="str">
        <f aca="false">IF(AND(H28&lt;H29,H30&lt;H29),"max","")</f>
        <v/>
      </c>
      <c r="J29" s="7" t="str">
        <f aca="false">IF(AND(H28&gt;H29,H30&gt;H28),"min","")</f>
        <v/>
      </c>
    </row>
    <row r="30" customFormat="false" ht="15" hidden="false" customHeight="false" outlineLevel="0" collapsed="false">
      <c r="D30" s="19" t="n">
        <f aca="false">calc!$F$30</f>
        <v>14</v>
      </c>
      <c r="E30" s="47" t="n">
        <f aca="false">calc!$U$30</f>
        <v>19.7386910737762</v>
      </c>
      <c r="F30" s="48" t="str">
        <f aca="false">IF(AND(E30&gt;E29,E30&gt;E31),"max","")</f>
        <v/>
      </c>
      <c r="G30" s="48" t="str">
        <f aca="false">IF(AND(E30&lt;E29,E30&lt;E31),"min","")</f>
        <v/>
      </c>
      <c r="H30" s="21" t="n">
        <f aca="false">calc!$AC$30</f>
        <v>1.01173421462794</v>
      </c>
      <c r="I30" s="7" t="str">
        <f aca="false">IF(AND(H29&lt;H30,H31&lt;H30),"max","")</f>
        <v/>
      </c>
      <c r="J30" s="7" t="str">
        <f aca="false">IF(AND(H29&gt;H30,H31&gt;H29),"min","")</f>
        <v/>
      </c>
    </row>
    <row r="31" customFormat="false" ht="15" hidden="false" customHeight="false" outlineLevel="0" collapsed="false">
      <c r="D31" s="19" t="n">
        <f aca="false">calc!$F$31</f>
        <v>14.5</v>
      </c>
      <c r="E31" s="47" t="n">
        <f aca="false">calc!$U$31</f>
        <v>19.743168904332</v>
      </c>
      <c r="F31" s="48" t="str">
        <f aca="false">IF(AND(E31&gt;E30,E31&gt;E32),"max","")</f>
        <v/>
      </c>
      <c r="G31" s="48" t="str">
        <f aca="false">IF(AND(E31&lt;E30,E31&lt;E32),"min","")</f>
        <v/>
      </c>
      <c r="H31" s="21" t="n">
        <f aca="false">calc!$AC$31</f>
        <v>1.01173828851287</v>
      </c>
      <c r="I31" s="7" t="str">
        <f aca="false">IF(AND(H30&lt;H31,H32&lt;H31),"max","")</f>
        <v/>
      </c>
      <c r="J31" s="7" t="str">
        <f aca="false">IF(AND(H30&gt;H31,H32&gt;H30),"min","")</f>
        <v/>
      </c>
    </row>
    <row r="32" customFormat="false" ht="15" hidden="false" customHeight="false" outlineLevel="0" collapsed="false">
      <c r="D32" s="19" t="n">
        <f aca="false">calc!$F$32</f>
        <v>15</v>
      </c>
      <c r="E32" s="47" t="n">
        <f aca="false">calc!$U$32</f>
        <v>19.7476443032186</v>
      </c>
      <c r="F32" s="48" t="str">
        <f aca="false">IF(AND(E32&gt;E31,E32&gt;E33),"max","")</f>
        <v/>
      </c>
      <c r="G32" s="48" t="str">
        <f aca="false">IF(AND(E32&lt;E31,E32&lt;E33),"min","")</f>
        <v/>
      </c>
      <c r="H32" s="21" t="n">
        <f aca="false">calc!$AC$32</f>
        <v>1.01174236070786</v>
      </c>
      <c r="I32" s="7" t="str">
        <f aca="false">IF(AND(H31&lt;H32,H33&lt;H32),"max","")</f>
        <v/>
      </c>
      <c r="J32" s="7" t="str">
        <f aca="false">IF(AND(H31&gt;H32,H33&gt;H31),"min","")</f>
        <v/>
      </c>
    </row>
    <row r="33" customFormat="false" ht="15" hidden="false" customHeight="false" outlineLevel="0" collapsed="false">
      <c r="D33" s="19" t="n">
        <f aca="false">calc!$F$33</f>
        <v>15.5</v>
      </c>
      <c r="E33" s="47" t="n">
        <f aca="false">calc!$U$33</f>
        <v>19.7521172696867</v>
      </c>
      <c r="F33" s="48" t="str">
        <f aca="false">IF(AND(E33&gt;E32,E33&gt;E34),"max","")</f>
        <v/>
      </c>
      <c r="G33" s="48" t="str">
        <f aca="false">IF(AND(E33&lt;E32,E33&lt;E34),"min","")</f>
        <v/>
      </c>
      <c r="H33" s="21" t="n">
        <f aca="false">calc!$AC$33</f>
        <v>1.01174643121547</v>
      </c>
      <c r="I33" s="7" t="str">
        <f aca="false">IF(AND(H32&lt;H33,H34&lt;H33),"max","")</f>
        <v/>
      </c>
      <c r="J33" s="7" t="str">
        <f aca="false">IF(AND(H32&gt;H33,H34&gt;H32),"min","")</f>
        <v/>
      </c>
    </row>
    <row r="34" customFormat="false" ht="15" hidden="false" customHeight="false" outlineLevel="0" collapsed="false">
      <c r="D34" s="19" t="n">
        <f aca="false">calc!$F$34</f>
        <v>16</v>
      </c>
      <c r="E34" s="47" t="n">
        <f aca="false">calc!$U$34</f>
        <v>19.7565878029877</v>
      </c>
      <c r="F34" s="48" t="str">
        <f aca="false">IF(AND(E34&gt;E33,E34&gt;E35),"max","")</f>
        <v/>
      </c>
      <c r="G34" s="48" t="str">
        <f aca="false">IF(AND(E34&lt;E33,E34&lt;E35),"min","")</f>
        <v/>
      </c>
      <c r="H34" s="21" t="n">
        <f aca="false">calc!$AC$34</f>
        <v>1.0117505000383</v>
      </c>
      <c r="I34" s="7" t="str">
        <f aca="false">IF(AND(H33&lt;H34,H35&lt;H34),"max","")</f>
        <v/>
      </c>
      <c r="J34" s="7" t="str">
        <f aca="false">IF(AND(H33&gt;H34,H35&gt;H33),"min","")</f>
        <v/>
      </c>
    </row>
    <row r="35" customFormat="false" ht="15" hidden="false" customHeight="false" outlineLevel="0" collapsed="false">
      <c r="D35" s="19" t="n">
        <f aca="false">calc!$F$35</f>
        <v>16.5</v>
      </c>
      <c r="E35" s="47" t="n">
        <f aca="false">calc!$U$35</f>
        <v>19.7610559026726</v>
      </c>
      <c r="F35" s="48" t="str">
        <f aca="false">IF(AND(E35&gt;E34,E35&gt;E36),"max","")</f>
        <v/>
      </c>
      <c r="G35" s="48" t="str">
        <f aca="false">IF(AND(E35&lt;E34,E35&lt;E36),"min","")</f>
        <v/>
      </c>
      <c r="H35" s="21" t="n">
        <f aca="false">calc!$AC$35</f>
        <v>1.01175456717917</v>
      </c>
      <c r="I35" s="7" t="str">
        <f aca="false">IF(AND(H34&lt;H35,H36&lt;H35),"max","")</f>
        <v/>
      </c>
      <c r="J35" s="7" t="str">
        <f aca="false">IF(AND(H34&gt;H35,H36&gt;H34),"min","")</f>
        <v/>
      </c>
    </row>
    <row r="36" customFormat="false" ht="15" hidden="false" customHeight="false" outlineLevel="0" collapsed="false">
      <c r="D36" s="19" t="n">
        <f aca="false">calc!$F$36</f>
        <v>17</v>
      </c>
      <c r="E36" s="47" t="n">
        <f aca="false">calc!$U$36</f>
        <v>19.7655215679933</v>
      </c>
      <c r="F36" s="48" t="str">
        <f aca="false">IF(AND(E36&gt;E35,E36&gt;E37),"max","")</f>
        <v/>
      </c>
      <c r="G36" s="48" t="str">
        <f aca="false">IF(AND(E36&lt;E35,E36&lt;E37),"min","")</f>
        <v/>
      </c>
      <c r="H36" s="21" t="n">
        <f aca="false">calc!$AC$36</f>
        <v>1.01175863264069</v>
      </c>
      <c r="I36" s="7" t="str">
        <f aca="false">IF(AND(H35&lt;H36,H37&lt;H36),"max","")</f>
        <v/>
      </c>
      <c r="J36" s="7" t="str">
        <f aca="false">IF(AND(H35&gt;H36,H37&gt;H35),"min","")</f>
        <v/>
      </c>
    </row>
    <row r="37" customFormat="false" ht="15" hidden="false" customHeight="false" outlineLevel="0" collapsed="false">
      <c r="D37" s="19" t="n">
        <f aca="false">calc!$F$37</f>
        <v>17.5</v>
      </c>
      <c r="E37" s="47" t="n">
        <f aca="false">calc!$U$37</f>
        <v>19.7699847982018</v>
      </c>
      <c r="F37" s="48" t="str">
        <f aca="false">IF(AND(E37&gt;E36,E37&gt;E38),"max","")</f>
        <v/>
      </c>
      <c r="G37" s="48" t="str">
        <f aca="false">IF(AND(E37&lt;E36,E37&lt;E38),"min","")</f>
        <v/>
      </c>
      <c r="H37" s="21" t="n">
        <f aca="false">calc!$AC$37</f>
        <v>1.01176269642544</v>
      </c>
      <c r="I37" s="7" t="str">
        <f aca="false">IF(AND(H36&lt;H37,H38&lt;H37),"max","")</f>
        <v/>
      </c>
      <c r="J37" s="7" t="str">
        <f aca="false">IF(AND(H36&gt;H37,H38&gt;H36),"min","")</f>
        <v/>
      </c>
    </row>
    <row r="38" customFormat="false" ht="15" hidden="false" customHeight="false" outlineLevel="0" collapsed="false">
      <c r="D38" s="19" t="n">
        <f aca="false">calc!$F$38</f>
        <v>18</v>
      </c>
      <c r="E38" s="47" t="n">
        <f aca="false">calc!$U$38</f>
        <v>19.7744455928499</v>
      </c>
      <c r="F38" s="48" t="str">
        <f aca="false">IF(AND(E38&gt;E37,E38&gt;E39),"max","")</f>
        <v/>
      </c>
      <c r="G38" s="48" t="str">
        <f aca="false">IF(AND(E38&lt;E37,E38&lt;E39),"min","")</f>
        <v/>
      </c>
      <c r="H38" s="21" t="n">
        <f aca="false">calc!$AC$38</f>
        <v>1.01176675853627</v>
      </c>
      <c r="I38" s="7" t="str">
        <f aca="false">IF(AND(H37&lt;H38,H39&lt;H38),"max","")</f>
        <v/>
      </c>
      <c r="J38" s="7" t="str">
        <f aca="false">IF(AND(H37&gt;H38,H39&gt;H37),"min","")</f>
        <v/>
      </c>
    </row>
    <row r="39" customFormat="false" ht="15" hidden="false" customHeight="false" outlineLevel="0" collapsed="false">
      <c r="D39" s="19" t="n">
        <f aca="false">calc!$F$39</f>
        <v>18.5</v>
      </c>
      <c r="E39" s="47" t="n">
        <f aca="false">calc!$U$39</f>
        <v>19.7789039511901</v>
      </c>
      <c r="F39" s="48" t="str">
        <f aca="false">IF(AND(E39&gt;E38,E39&gt;E40),"max","")</f>
        <v/>
      </c>
      <c r="G39" s="48" t="str">
        <f aca="false">IF(AND(E39&lt;E38,E39&lt;E40),"min","")</f>
        <v/>
      </c>
      <c r="H39" s="21" t="n">
        <f aca="false">calc!$AC$39</f>
        <v>1.01177081897578</v>
      </c>
      <c r="I39" s="7" t="str">
        <f aca="false">IF(AND(H38&lt;H39,H40&lt;H39),"max","")</f>
        <v/>
      </c>
      <c r="J39" s="7" t="str">
        <f aca="false">IF(AND(H38&gt;H39,H40&gt;H38),"min","")</f>
        <v/>
      </c>
    </row>
    <row r="40" customFormat="false" ht="15" hidden="false" customHeight="false" outlineLevel="0" collapsed="false">
      <c r="D40" s="19" t="n">
        <f aca="false">calc!$F$40</f>
        <v>19</v>
      </c>
      <c r="E40" s="47" t="n">
        <f aca="false">calc!$U$40</f>
        <v>19.7833598724756</v>
      </c>
      <c r="F40" s="48" t="str">
        <f aca="false">IF(AND(E40&gt;E39,E40&gt;E41),"max","")</f>
        <v/>
      </c>
      <c r="G40" s="48" t="str">
        <f aca="false">IF(AND(E40&lt;E39,E40&lt;E41),"min","")</f>
        <v/>
      </c>
      <c r="H40" s="21" t="n">
        <f aca="false">calc!$AC$40</f>
        <v>1.01177487774656</v>
      </c>
      <c r="I40" s="7" t="str">
        <f aca="false">IF(AND(H39&lt;H40,H41&lt;H40),"max","")</f>
        <v/>
      </c>
      <c r="J40" s="7" t="str">
        <f aca="false">IF(AND(H39&gt;H40,H41&gt;H39),"min","")</f>
        <v/>
      </c>
    </row>
    <row r="41" customFormat="false" ht="15" hidden="false" customHeight="false" outlineLevel="0" collapsed="false">
      <c r="D41" s="19" t="n">
        <f aca="false">calc!$F$41</f>
        <v>19.5</v>
      </c>
      <c r="E41" s="47" t="n">
        <f aca="false">calc!$U$41</f>
        <v>19.7878133562586</v>
      </c>
      <c r="F41" s="48" t="str">
        <f aca="false">IF(AND(E41&gt;E40,E41&gt;E42),"max","")</f>
        <v/>
      </c>
      <c r="G41" s="48" t="str">
        <f aca="false">IF(AND(E41&lt;E40,E41&lt;E42),"min","")</f>
        <v/>
      </c>
      <c r="H41" s="21" t="n">
        <f aca="false">calc!$AC$41</f>
        <v>1.01177893485148</v>
      </c>
      <c r="I41" s="7" t="str">
        <f aca="false">IF(AND(H40&lt;H41,H42&lt;H41),"max","")</f>
        <v/>
      </c>
      <c r="J41" s="7" t="str">
        <f aca="false">IF(AND(H40&gt;H41,H42&gt;H40),"min","")</f>
        <v/>
      </c>
    </row>
    <row r="42" customFormat="false" ht="15" hidden="false" customHeight="false" outlineLevel="0" collapsed="false">
      <c r="D42" s="19" t="n">
        <f aca="false">calc!$F$42</f>
        <v>20</v>
      </c>
      <c r="E42" s="47" t="n">
        <f aca="false">calc!$U$42</f>
        <v>19.7922644017924</v>
      </c>
      <c r="F42" s="48" t="str">
        <f aca="false">IF(AND(E42&gt;E41,E42&gt;E43),"max","")</f>
        <v/>
      </c>
      <c r="G42" s="48" t="str">
        <f aca="false">IF(AND(E42&lt;E41,E42&lt;E43),"min","")</f>
        <v/>
      </c>
      <c r="H42" s="21" t="n">
        <f aca="false">calc!$AC$42</f>
        <v>1.01178299029312</v>
      </c>
      <c r="I42" s="7" t="str">
        <f aca="false">IF(AND(H41&lt;H42,H43&lt;H42),"max","")</f>
        <v/>
      </c>
      <c r="J42" s="7" t="str">
        <f aca="false">IF(AND(H41&gt;H42,H43&gt;H41),"min","")</f>
        <v/>
      </c>
    </row>
    <row r="43" customFormat="false" ht="15" hidden="false" customHeight="false" outlineLevel="0" collapsed="false">
      <c r="D43" s="19" t="n">
        <f aca="false">calc!$F$43</f>
        <v>20.5</v>
      </c>
      <c r="E43" s="47" t="n">
        <f aca="false">calc!$U$43</f>
        <v>19.7967130083314</v>
      </c>
      <c r="F43" s="48" t="str">
        <f aca="false">IF(AND(E43&gt;E42,E43&gt;E44),"max","")</f>
        <v/>
      </c>
      <c r="G43" s="48" t="str">
        <f aca="false">IF(AND(E43&lt;E42,E43&lt;E44),"min","")</f>
        <v/>
      </c>
      <c r="H43" s="21" t="n">
        <f aca="false">calc!$AC$43</f>
        <v>1.0117870440741</v>
      </c>
      <c r="I43" s="7" t="str">
        <f aca="false">IF(AND(H42&lt;H43,H44&lt;H43),"max","")</f>
        <v/>
      </c>
      <c r="J43" s="7" t="str">
        <f aca="false">IF(AND(H42&gt;H43,H44&gt;H42),"min","")</f>
        <v/>
      </c>
    </row>
    <row r="44" customFormat="false" ht="15" hidden="false" customHeight="false" outlineLevel="0" collapsed="false">
      <c r="D44" s="19" t="n">
        <f aca="false">calc!$F$44</f>
        <v>21</v>
      </c>
      <c r="E44" s="47" t="n">
        <f aca="false">calc!$U$44</f>
        <v>19.8011591754279</v>
      </c>
      <c r="F44" s="48" t="str">
        <f aca="false">IF(AND(E44&gt;E43,E44&gt;E45),"max","")</f>
        <v/>
      </c>
      <c r="G44" s="48" t="str">
        <f aca="false">IF(AND(E44&lt;E43,E44&lt;E45),"min","")</f>
        <v/>
      </c>
      <c r="H44" s="21" t="n">
        <f aca="false">calc!$AC$44</f>
        <v>1.01179109619728</v>
      </c>
      <c r="I44" s="7" t="str">
        <f aca="false">IF(AND(H43&lt;H44,H45&lt;H44),"max","")</f>
        <v/>
      </c>
      <c r="J44" s="7" t="str">
        <f aca="false">IF(AND(H43&gt;H44,H45&gt;H43),"min","")</f>
        <v/>
      </c>
    </row>
    <row r="45" customFormat="false" ht="15" hidden="false" customHeight="false" outlineLevel="0" collapsed="false">
      <c r="D45" s="19" t="n">
        <f aca="false">calc!$F$45</f>
        <v>21.5</v>
      </c>
      <c r="E45" s="47" t="n">
        <f aca="false">calc!$U$45</f>
        <v>19.8056029023366</v>
      </c>
      <c r="F45" s="48" t="str">
        <f aca="false">IF(AND(E45&gt;E44,E45&gt;E46),"max","")</f>
        <v/>
      </c>
      <c r="G45" s="48" t="str">
        <f aca="false">IF(AND(E45&lt;E44,E45&lt;E46),"min","")</f>
        <v/>
      </c>
      <c r="H45" s="21" t="n">
        <f aca="false">calc!$AC$45</f>
        <v>1.01179514666527</v>
      </c>
      <c r="I45" s="7" t="str">
        <f aca="false">IF(AND(H44&lt;H45,H46&lt;H45),"max","")</f>
        <v/>
      </c>
      <c r="J45" s="7" t="str">
        <f aca="false">IF(AND(H44&gt;H45,H46&gt;H44),"min","")</f>
        <v/>
      </c>
    </row>
    <row r="46" customFormat="false" ht="15" hidden="false" customHeight="false" outlineLevel="0" collapsed="false">
      <c r="D46" s="19" t="n">
        <f aca="false">calc!$F$46</f>
        <v>22</v>
      </c>
      <c r="E46" s="47" t="n">
        <f aca="false">calc!$U$46</f>
        <v>19.8100441883124</v>
      </c>
      <c r="F46" s="48" t="str">
        <f aca="false">IF(AND(E46&gt;E45,E46&gt;E47),"max","")</f>
        <v/>
      </c>
      <c r="G46" s="48" t="str">
        <f aca="false">IF(AND(E46&lt;E45,E46&lt;E47),"min","")</f>
        <v/>
      </c>
      <c r="H46" s="21" t="n">
        <f aca="false">calc!$AC$46</f>
        <v>1.01179919548066</v>
      </c>
      <c r="I46" s="7" t="str">
        <f aca="false">IF(AND(H45&lt;H46,H47&lt;H46),"max","")</f>
        <v/>
      </c>
      <c r="J46" s="7" t="str">
        <f aca="false">IF(AND(H45&gt;H46,H47&gt;H45),"min","")</f>
        <v/>
      </c>
    </row>
    <row r="47" customFormat="false" ht="15" hidden="false" customHeight="false" outlineLevel="0" collapsed="false">
      <c r="D47" s="19" t="n">
        <f aca="false">calc!$F$47</f>
        <v>22.5</v>
      </c>
      <c r="E47" s="47" t="n">
        <f aca="false">calc!$U$47</f>
        <v>19.8144830329083</v>
      </c>
      <c r="F47" s="48" t="str">
        <f aca="false">IF(AND(E47&gt;E46,E47&gt;E48),"max","")</f>
        <v/>
      </c>
      <c r="G47" s="48" t="str">
        <f aca="false">IF(AND(E47&lt;E46,E47&lt;E48),"min","")</f>
        <v/>
      </c>
      <c r="H47" s="21" t="n">
        <f aca="false">calc!$AC$47</f>
        <v>1.01180324264635</v>
      </c>
      <c r="I47" s="7" t="str">
        <f aca="false">IF(AND(H46&lt;H47,H48&lt;H47),"max","")</f>
        <v/>
      </c>
      <c r="J47" s="7" t="str">
        <f aca="false">IF(AND(H46&gt;H47,H48&gt;H46),"min","")</f>
        <v/>
      </c>
    </row>
    <row r="48" customFormat="false" ht="15" hidden="false" customHeight="false" outlineLevel="0" collapsed="false">
      <c r="D48" s="19" t="n">
        <f aca="false">calc!$F$48</f>
        <v>23</v>
      </c>
      <c r="E48" s="47" t="n">
        <f aca="false">calc!$U$48</f>
        <v>19.8189194353798</v>
      </c>
      <c r="F48" s="48" t="str">
        <f aca="false">IF(AND(E48&gt;E47,E48&gt;E49),"max","")</f>
        <v/>
      </c>
      <c r="G48" s="48" t="str">
        <f aca="false">IF(AND(E48&lt;E47,E48&lt;E49),"min","")</f>
        <v/>
      </c>
      <c r="H48" s="21" t="n">
        <f aca="false">calc!$AC$48</f>
        <v>1.01180728816492</v>
      </c>
      <c r="I48" s="7" t="str">
        <f aca="false">IF(AND(H47&lt;H48,H49&lt;H48),"max","")</f>
        <v/>
      </c>
      <c r="J48" s="7" t="str">
        <f aca="false">IF(AND(H47&gt;H48,H49&gt;H47),"min","")</f>
        <v/>
      </c>
    </row>
    <row r="49" customFormat="false" ht="15" hidden="false" customHeight="false" outlineLevel="0" collapsed="false">
      <c r="D49" s="19" t="n">
        <f aca="false">calc!$F$49</f>
        <v>23.5</v>
      </c>
      <c r="E49" s="47" t="n">
        <f aca="false">calc!$U$49</f>
        <v>19.8233533949828</v>
      </c>
      <c r="F49" s="48" t="str">
        <f aca="false">IF(AND(E49&gt;E48,E49&gt;E50),"max","")</f>
        <v/>
      </c>
      <c r="G49" s="48" t="str">
        <f aca="false">IF(AND(E49&lt;E48,E49&lt;E50),"min","")</f>
        <v/>
      </c>
      <c r="H49" s="21" t="n">
        <f aca="false">calc!$AC$49</f>
        <v>1.01181133203899</v>
      </c>
      <c r="I49" s="7" t="str">
        <f aca="false">IF(AND(H48&lt;H49,H50&lt;H49),"max","")</f>
        <v/>
      </c>
      <c r="J49" s="7" t="str">
        <f aca="false">IF(AND(H48&gt;H49,H50&gt;H48),"min","")</f>
        <v/>
      </c>
    </row>
    <row r="50" customFormat="false" ht="15" hidden="false" customHeight="false" outlineLevel="0" collapsed="false">
      <c r="D50" s="19" t="n">
        <f aca="false">calc!$F$50</f>
        <v>24</v>
      </c>
      <c r="E50" s="47" t="n">
        <f aca="false">calc!$U$50</f>
        <v>19.8277849112709</v>
      </c>
      <c r="H50" s="21" t="n">
        <f aca="false">calc!$AC$50</f>
        <v>1.01181537427144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&amp;C&amp;10Seite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2"/>
  <sheetViews>
    <sheetView showFormulas="false" showGridLines="true" showRowColHeaders="true" showZeros="true" rightToLeft="false" tabSelected="false" showOutlineSymbols="true" defaultGridColor="true" view="normal" topLeftCell="A20" colorId="64" zoomScale="100" zoomScaleNormal="100" zoomScalePageLayoutView="100" workbookViewId="0">
      <selection pane="topLeft" activeCell="A1" activeCellId="0" sqref="A1"/>
    </sheetView>
  </sheetViews>
  <sheetFormatPr defaultColWidth="9.58984375" defaultRowHeight="15" zeroHeight="false" outlineLevelRow="0" outlineLevelCol="0"/>
  <cols>
    <col collapsed="false" customWidth="false" hidden="false" outlineLevel="0" max="3" min="1" style="1" width="9.57"/>
    <col collapsed="false" customWidth="false" hidden="false" outlineLevel="0" max="4" min="4" style="5" width="9.57"/>
    <col collapsed="false" customWidth="false" hidden="false" outlineLevel="0" max="5" min="5" style="35" width="9.57"/>
    <col collapsed="false" customWidth="false" hidden="false" outlineLevel="0" max="7" min="6" style="50" width="9.57"/>
    <col collapsed="false" customWidth="false" hidden="false" outlineLevel="0" max="8" min="8" style="51" width="9.57"/>
    <col collapsed="false" customWidth="false" hidden="false" outlineLevel="0" max="10" min="9" style="52" width="9.57"/>
    <col collapsed="false" customWidth="false" hidden="false" outlineLevel="0" max="64" min="11" style="1" width="9.57"/>
    <col collapsed="false" customWidth="true" hidden="false" outlineLevel="0" max="1024" min="1024" style="0" width="7.32"/>
  </cols>
  <sheetData>
    <row r="1" s="46" customFormat="true" ht="15" hidden="false" customHeight="false" outlineLevel="0" collapsed="false">
      <c r="A1" s="2" t="str">
        <f aca="false">input!$B$1</f>
        <v>Date</v>
      </c>
      <c r="B1" s="2" t="str">
        <f aca="false">input!$C$1</f>
        <v>Month</v>
      </c>
      <c r="C1" s="2" t="str">
        <f aca="false">input!$D$1</f>
        <v>Year</v>
      </c>
      <c r="D1" s="7" t="str">
        <f aca="false">calc!$F$1</f>
        <v>UT</v>
      </c>
      <c r="E1" s="2" t="str">
        <f aca="false">calc!$P$1</f>
        <v>L</v>
      </c>
      <c r="F1" s="53" t="s">
        <v>40</v>
      </c>
      <c r="G1" s="53" t="s">
        <v>41</v>
      </c>
      <c r="H1" s="54"/>
      <c r="I1" s="55" t="s">
        <v>40</v>
      </c>
      <c r="J1" s="55" t="s">
        <v>41</v>
      </c>
    </row>
    <row r="2" customFormat="false" ht="15" hidden="false" customHeight="false" outlineLevel="0" collapsed="false">
      <c r="A2" s="35" t="n">
        <f aca="false">input!$B$2</f>
        <v>19</v>
      </c>
      <c r="B2" s="35" t="n">
        <f aca="false">input!$C$2</f>
        <v>5</v>
      </c>
      <c r="C2" s="35" t="n">
        <f aca="false">input!$D$2</f>
        <v>1991</v>
      </c>
      <c r="D2" s="19" t="n">
        <f aca="false">calc!$F$2</f>
        <v>0</v>
      </c>
      <c r="E2" s="56" t="n">
        <f aca="false">calc!$P$2</f>
        <v>57.5421461923588</v>
      </c>
      <c r="F2" s="50" t="n">
        <f aca="false">COS(E2*PI()/180)</f>
        <v>0.536679072873361</v>
      </c>
      <c r="G2" s="50" t="n">
        <f aca="false">SIN(E2*PI()/180)</f>
        <v>0.84378644972516</v>
      </c>
      <c r="H2" s="51" t="n">
        <v>0</v>
      </c>
      <c r="I2" s="52" t="n">
        <f aca="false">COS(H2*PI()/180)</f>
        <v>1</v>
      </c>
      <c r="J2" s="52" t="n">
        <f aca="false">SIN(H2*PI()/180)</f>
        <v>0</v>
      </c>
    </row>
    <row r="3" customFormat="false" ht="15" hidden="false" customHeight="false" outlineLevel="0" collapsed="false">
      <c r="A3" s="32" t="s">
        <v>31</v>
      </c>
      <c r="B3" s="32" t="s">
        <v>31</v>
      </c>
      <c r="C3" s="32" t="s">
        <v>31</v>
      </c>
      <c r="D3" s="19" t="n">
        <f aca="false">calc!$F$3</f>
        <v>0.5</v>
      </c>
      <c r="E3" s="56" t="n">
        <f aca="false">calc!$P$3</f>
        <v>57.5622084771357</v>
      </c>
      <c r="F3" s="50" t="n">
        <f aca="false">COS(E3*PI()/180)</f>
        <v>0.536383585685771</v>
      </c>
      <c r="G3" s="50" t="n">
        <f aca="false">SIN(E3*PI()/180)</f>
        <v>0.843974317741289</v>
      </c>
      <c r="H3" s="51" t="n">
        <v>3</v>
      </c>
      <c r="I3" s="52" t="n">
        <f aca="false">COS(H3*PI()/180)</f>
        <v>0.998629534754574</v>
      </c>
      <c r="J3" s="52" t="n">
        <f aca="false">SIN(H3*PI()/180)</f>
        <v>0.0523359562429438</v>
      </c>
    </row>
    <row r="4" customFormat="false" ht="15" hidden="false" customHeight="false" outlineLevel="0" collapsed="false">
      <c r="D4" s="19" t="n">
        <f aca="false">calc!$F$4</f>
        <v>1</v>
      </c>
      <c r="E4" s="56" t="n">
        <f aca="false">calc!$P$4</f>
        <v>57.5822705928121</v>
      </c>
      <c r="F4" s="50" t="n">
        <f aca="false">COS(E4*PI()/180)</f>
        <v>0.536088035225189</v>
      </c>
      <c r="G4" s="50" t="n">
        <f aca="false">SIN(E4*PI()/180)</f>
        <v>0.844162080698012</v>
      </c>
      <c r="H4" s="51" t="n">
        <v>6</v>
      </c>
      <c r="I4" s="52" t="n">
        <f aca="false">COS(H4*PI()/180)</f>
        <v>0.994521895368274</v>
      </c>
      <c r="J4" s="52" t="n">
        <f aca="false">SIN(H4*PI()/180)</f>
        <v>0.104528463267653</v>
      </c>
    </row>
    <row r="5" customFormat="false" ht="15" hidden="false" customHeight="false" outlineLevel="0" collapsed="false">
      <c r="D5" s="19" t="n">
        <f aca="false">calc!$F$5</f>
        <v>1.5</v>
      </c>
      <c r="E5" s="56" t="n">
        <f aca="false">calc!$P$5</f>
        <v>57.6023325403457</v>
      </c>
      <c r="F5" s="50" t="n">
        <f aca="false">COS(E5*PI()/180)</f>
        <v>0.535792421515398</v>
      </c>
      <c r="G5" s="50" t="n">
        <f aca="false">SIN(E5*PI()/180)</f>
        <v>0.84434973858388</v>
      </c>
      <c r="H5" s="51" t="n">
        <v>9</v>
      </c>
      <c r="I5" s="52" t="n">
        <f aca="false">COS(H5*PI()/180)</f>
        <v>0.987688340595138</v>
      </c>
      <c r="J5" s="52" t="n">
        <f aca="false">SIN(H5*PI()/180)</f>
        <v>0.156434465040231</v>
      </c>
    </row>
    <row r="6" customFormat="false" ht="15" hidden="false" customHeight="false" outlineLevel="0" collapsed="false">
      <c r="D6" s="19" t="n">
        <f aca="false">calc!$F$6</f>
        <v>2</v>
      </c>
      <c r="E6" s="56" t="n">
        <f aca="false">calc!$P$6</f>
        <v>57.622394319349</v>
      </c>
      <c r="F6" s="50" t="n">
        <f aca="false">COS(E6*PI()/180)</f>
        <v>0.535496744600007</v>
      </c>
      <c r="G6" s="50" t="n">
        <f aca="false">SIN(E6*PI()/180)</f>
        <v>0.844537291374866</v>
      </c>
      <c r="H6" s="51" t="n">
        <v>12</v>
      </c>
      <c r="I6" s="52" t="n">
        <f aca="false">COS(H6*PI()/180)</f>
        <v>0.978147600733806</v>
      </c>
      <c r="J6" s="52" t="n">
        <f aca="false">SIN(H6*PI()/180)</f>
        <v>0.207911690817759</v>
      </c>
    </row>
    <row r="7" customFormat="false" ht="15" hidden="false" customHeight="false" outlineLevel="0" collapsed="false">
      <c r="D7" s="19" t="n">
        <f aca="false">calc!$F$7</f>
        <v>2.5</v>
      </c>
      <c r="E7" s="56" t="n">
        <f aca="false">calc!$P$7</f>
        <v>57.6424559294349</v>
      </c>
      <c r="F7" s="50" t="n">
        <f aca="false">COS(E7*PI()/180)</f>
        <v>0.535201004522627</v>
      </c>
      <c r="G7" s="50" t="n">
        <f aca="false">SIN(E7*PI()/180)</f>
        <v>0.84472473904697</v>
      </c>
      <c r="H7" s="51" t="n">
        <v>15</v>
      </c>
      <c r="I7" s="52" t="n">
        <f aca="false">COS(H7*PI()/180)</f>
        <v>0.965925826289069</v>
      </c>
      <c r="J7" s="52" t="n">
        <f aca="false">SIN(H7*PI()/180)</f>
        <v>0.258819045102521</v>
      </c>
    </row>
    <row r="8" customFormat="false" ht="15" hidden="false" customHeight="false" outlineLevel="0" collapsed="false">
      <c r="D8" s="19" t="n">
        <f aca="false">calc!$F$8</f>
        <v>3</v>
      </c>
      <c r="E8" s="56" t="n">
        <f aca="false">calc!$P$8</f>
        <v>57.6625173715602</v>
      </c>
      <c r="F8" s="50" t="n">
        <f aca="false">COS(E8*PI()/180)</f>
        <v>0.534905201307064</v>
      </c>
      <c r="G8" s="50" t="n">
        <f aca="false">SIN(E8*PI()/180)</f>
        <v>0.844912081588759</v>
      </c>
      <c r="H8" s="51" t="n">
        <v>18</v>
      </c>
      <c r="I8" s="52" t="n">
        <f aca="false">COS(H8*PI()/180)</f>
        <v>0.951056516295154</v>
      </c>
      <c r="J8" s="52" t="n">
        <f aca="false">SIN(H8*PI()/180)</f>
        <v>0.309016994374947</v>
      </c>
    </row>
    <row r="9" customFormat="false" ht="15" hidden="false" customHeight="false" outlineLevel="0" collapsed="false">
      <c r="D9" s="19" t="n">
        <f aca="false">calc!$F$9</f>
        <v>3.5</v>
      </c>
      <c r="E9" s="56" t="n">
        <f aca="false">calc!$P$9</f>
        <v>57.6825786453366</v>
      </c>
      <c r="F9" s="50" t="n">
        <f aca="false">COS(E9*PI()/180)</f>
        <v>0.534609334996958</v>
      </c>
      <c r="G9" s="50" t="n">
        <f aca="false">SIN(E9*PI()/180)</f>
        <v>0.845099318976243</v>
      </c>
      <c r="H9" s="51" t="n">
        <v>21</v>
      </c>
      <c r="I9" s="52" t="n">
        <f aca="false">COS(H9*PI()/180)</f>
        <v>0.933580426497202</v>
      </c>
      <c r="J9" s="52" t="n">
        <f aca="false">SIN(H9*PI()/180)</f>
        <v>0.3583679495453</v>
      </c>
    </row>
    <row r="10" customFormat="false" ht="15" hidden="false" customHeight="false" outlineLevel="0" collapsed="false">
      <c r="D10" s="19" t="n">
        <f aca="false">calc!$F$10</f>
        <v>4</v>
      </c>
      <c r="E10" s="56" t="n">
        <f aca="false">calc!$P$10</f>
        <v>57.7026397503784</v>
      </c>
      <c r="F10" s="50" t="n">
        <f aca="false">COS(E10*PI()/180)</f>
        <v>0.534313405635922</v>
      </c>
      <c r="G10" s="50" t="n">
        <f aca="false">SIN(E10*PI()/180)</f>
        <v>0.84528645118548</v>
      </c>
      <c r="H10" s="51" t="n">
        <v>24</v>
      </c>
      <c r="I10" s="52" t="n">
        <f aca="false">COS(H10*PI()/180)</f>
        <v>0.913545457642601</v>
      </c>
      <c r="J10" s="52" t="n">
        <f aca="false">SIN(H10*PI()/180)</f>
        <v>0.4067366430758</v>
      </c>
    </row>
    <row r="11" customFormat="false" ht="15" hidden="false" customHeight="false" outlineLevel="0" collapsed="false">
      <c r="D11" s="19" t="n">
        <f aca="false">calc!$F$11</f>
        <v>4.5</v>
      </c>
      <c r="E11" s="56" t="n">
        <f aca="false">calc!$P$11</f>
        <v>57.7227006876416</v>
      </c>
      <c r="F11" s="50" t="n">
        <f aca="false">COS(E11*PI()/180)</f>
        <v>0.53401741324778</v>
      </c>
      <c r="G11" s="50" t="n">
        <f aca="false">SIN(E11*PI()/180)</f>
        <v>0.845473478205053</v>
      </c>
      <c r="H11" s="51" t="n">
        <v>27</v>
      </c>
      <c r="I11" s="52" t="n">
        <f aca="false">COS(H11*PI()/180)</f>
        <v>0.891006524188368</v>
      </c>
      <c r="J11" s="52" t="n">
        <f aca="false">SIN(H11*PI()/180)</f>
        <v>0.453990499739547</v>
      </c>
    </row>
    <row r="12" customFormat="false" ht="15" hidden="false" customHeight="false" outlineLevel="0" collapsed="false">
      <c r="D12" s="19" t="n">
        <f aca="false">calc!$F$12</f>
        <v>5</v>
      </c>
      <c r="E12" s="56" t="n">
        <f aca="false">calc!$P$12</f>
        <v>57.7427614567396</v>
      </c>
      <c r="F12" s="50" t="n">
        <f aca="false">COS(E12*PI()/180)</f>
        <v>0.533721357876166</v>
      </c>
      <c r="G12" s="50" t="n">
        <f aca="false">SIN(E12*PI()/180)</f>
        <v>0.845660400011034</v>
      </c>
      <c r="H12" s="51" t="n">
        <v>30</v>
      </c>
      <c r="I12" s="52" t="n">
        <f aca="false">COS(H12*PI()/180)</f>
        <v>0.866025403784439</v>
      </c>
      <c r="J12" s="52" t="n">
        <f aca="false">SIN(H12*PI()/180)</f>
        <v>0.5</v>
      </c>
    </row>
    <row r="13" customFormat="false" ht="15" hidden="false" customHeight="false" outlineLevel="0" collapsed="false">
      <c r="D13" s="19" t="n">
        <f aca="false">calc!$F$13</f>
        <v>5.5</v>
      </c>
      <c r="E13" s="56" t="n">
        <f aca="false">calc!$P$13</f>
        <v>57.7628220572837</v>
      </c>
      <c r="F13" s="50" t="n">
        <f aca="false">COS(E13*PI()/180)</f>
        <v>0.533425239564758</v>
      </c>
      <c r="G13" s="50" t="n">
        <f aca="false">SIN(E13*PI()/180)</f>
        <v>0.845847216579496</v>
      </c>
      <c r="H13" s="51" t="n">
        <v>33</v>
      </c>
      <c r="I13" s="52" t="n">
        <f aca="false">COS(H13*PI()/180)</f>
        <v>0.838670567945424</v>
      </c>
      <c r="J13" s="52" t="n">
        <f aca="false">SIN(H13*PI()/180)</f>
        <v>0.544639035015027</v>
      </c>
    </row>
    <row r="14" customFormat="false" ht="15" hidden="false" customHeight="false" outlineLevel="0" collapsed="false">
      <c r="D14" s="19" t="n">
        <f aca="false">calc!$F$14</f>
        <v>6</v>
      </c>
      <c r="E14" s="56" t="n">
        <f aca="false">calc!$P$14</f>
        <v>57.7828824902326</v>
      </c>
      <c r="F14" s="50" t="n">
        <f aca="false">COS(E14*PI()/180)</f>
        <v>0.53312905833735</v>
      </c>
      <c r="G14" s="50" t="n">
        <f aca="false">SIN(E14*PI()/180)</f>
        <v>0.846033927899071</v>
      </c>
      <c r="H14" s="51" t="n">
        <v>36</v>
      </c>
      <c r="I14" s="52" t="n">
        <f aca="false">COS(H14*PI()/180)</f>
        <v>0.809016994374947</v>
      </c>
      <c r="J14" s="52" t="n">
        <f aca="false">SIN(H14*PI()/180)</f>
        <v>0.587785252292473</v>
      </c>
    </row>
    <row r="15" customFormat="false" ht="15" hidden="false" customHeight="false" outlineLevel="0" collapsed="false">
      <c r="D15" s="19" t="n">
        <f aca="false">calc!$F$15</f>
        <v>6.5</v>
      </c>
      <c r="E15" s="56" t="n">
        <f aca="false">calc!$P$15</f>
        <v>57.802942755199</v>
      </c>
      <c r="F15" s="50" t="n">
        <f aca="false">COS(E15*PI()/180)</f>
        <v>0.532832814237606</v>
      </c>
      <c r="G15" s="50" t="n">
        <f aca="false">SIN(E15*PI()/180)</f>
        <v>0.84622053394587</v>
      </c>
      <c r="H15" s="51" t="n">
        <v>39</v>
      </c>
      <c r="I15" s="52" t="n">
        <f aca="false">COS(H15*PI()/180)</f>
        <v>0.777145961456971</v>
      </c>
      <c r="J15" s="52" t="n">
        <f aca="false">SIN(H15*PI()/180)</f>
        <v>0.629320391049837</v>
      </c>
    </row>
    <row r="16" customFormat="false" ht="15" hidden="false" customHeight="false" outlineLevel="0" collapsed="false">
      <c r="D16" s="19" t="n">
        <f aca="false">calc!$F$16</f>
        <v>7</v>
      </c>
      <c r="E16" s="56" t="n">
        <f aca="false">calc!$P$16</f>
        <v>57.8230028517942</v>
      </c>
      <c r="F16" s="50" t="n">
        <f aca="false">COS(E16*PI()/180)</f>
        <v>0.532536507309225</v>
      </c>
      <c r="G16" s="50" t="n">
        <f aca="false">SIN(E16*PI()/180)</f>
        <v>0.84640703469601</v>
      </c>
      <c r="H16" s="51" t="n">
        <v>42</v>
      </c>
      <c r="I16" s="52" t="n">
        <f aca="false">COS(H16*PI()/180)</f>
        <v>0.743144825477394</v>
      </c>
      <c r="J16" s="52" t="n">
        <f aca="false">SIN(H16*PI()/180)</f>
        <v>0.669130606358858</v>
      </c>
    </row>
    <row r="17" customFormat="false" ht="15" hidden="false" customHeight="false" outlineLevel="0" collapsed="false">
      <c r="D17" s="19" t="n">
        <f aca="false">calc!$F$17</f>
        <v>7.5</v>
      </c>
      <c r="E17" s="56" t="n">
        <f aca="false">calc!$P$17</f>
        <v>57.8430627809773</v>
      </c>
      <c r="F17" s="50" t="n">
        <f aca="false">COS(E17*PI()/180)</f>
        <v>0.532240137575999</v>
      </c>
      <c r="G17" s="50" t="n">
        <f aca="false">SIN(E17*PI()/180)</f>
        <v>0.846593430138152</v>
      </c>
      <c r="H17" s="51" t="n">
        <v>45</v>
      </c>
      <c r="I17" s="52" t="n">
        <f aca="false">COS(H17*PI()/180)</f>
        <v>0.707106781186548</v>
      </c>
      <c r="J17" s="52" t="n">
        <f aca="false">SIN(H17*PI()/180)</f>
        <v>0.707106781186547</v>
      </c>
    </row>
    <row r="18" customFormat="false" ht="15" hidden="false" customHeight="false" outlineLevel="0" collapsed="false">
      <c r="D18" s="19" t="n">
        <f aca="false">calc!$F$18</f>
        <v>8</v>
      </c>
      <c r="E18" s="56" t="n">
        <f aca="false">calc!$P$18</f>
        <v>57.8631225423598</v>
      </c>
      <c r="F18" s="50" t="n">
        <f aca="false">COS(E18*PI()/180)</f>
        <v>0.531943705081634</v>
      </c>
      <c r="G18" s="50" t="n">
        <f aca="false">SIN(E18*PI()/180)</f>
        <v>0.846779720248438</v>
      </c>
      <c r="H18" s="51" t="n">
        <v>48</v>
      </c>
      <c r="I18" s="52" t="n">
        <f aca="false">COS(H18*PI()/180)</f>
        <v>0.669130606358858</v>
      </c>
      <c r="J18" s="52" t="n">
        <f aca="false">SIN(H18*PI()/180)</f>
        <v>0.743144825477394</v>
      </c>
    </row>
    <row r="19" customFormat="false" ht="15" hidden="false" customHeight="false" outlineLevel="0" collapsed="false">
      <c r="D19" s="19" t="n">
        <f aca="false">calc!$F$19</f>
        <v>8.5</v>
      </c>
      <c r="E19" s="56" t="n">
        <f aca="false">calc!$P$19</f>
        <v>57.8831821355552</v>
      </c>
      <c r="F19" s="50" t="n">
        <f aca="false">COS(E19*PI()/180)</f>
        <v>0.531647209869816</v>
      </c>
      <c r="G19" s="50" t="n">
        <f aca="false">SIN(E19*PI()/180)</f>
        <v>0.846965905003053</v>
      </c>
      <c r="H19" s="51" t="n">
        <v>51</v>
      </c>
      <c r="I19" s="52" t="n">
        <f aca="false">COS(H19*PI()/180)</f>
        <v>0.629320391049837</v>
      </c>
      <c r="J19" s="52" t="n">
        <f aca="false">SIN(H19*PI()/180)</f>
        <v>0.777145961456971</v>
      </c>
    </row>
    <row r="20" customFormat="false" ht="15" hidden="false" customHeight="false" outlineLevel="0" collapsed="false">
      <c r="D20" s="19" t="n">
        <f aca="false">calc!$F$20</f>
        <v>9</v>
      </c>
      <c r="E20" s="56" t="n">
        <f aca="false">calc!$P$20</f>
        <v>57.9032415615197</v>
      </c>
      <c r="F20" s="50" t="n">
        <f aca="false">COS(E20*PI()/180)</f>
        <v>0.531350651964388</v>
      </c>
      <c r="G20" s="50" t="n">
        <f aca="false">SIN(E20*PI()/180)</f>
        <v>0.847151984390652</v>
      </c>
      <c r="H20" s="51" t="n">
        <v>54</v>
      </c>
      <c r="I20" s="52" t="n">
        <f aca="false">COS(H20*PI()/180)</f>
        <v>0.587785252292473</v>
      </c>
      <c r="J20" s="52" t="n">
        <f aca="false">SIN(H20*PI()/180)</f>
        <v>0.809016994374947</v>
      </c>
    </row>
    <row r="21" customFormat="false" ht="15" hidden="false" customHeight="false" outlineLevel="0" collapsed="false">
      <c r="D21" s="19" t="n">
        <f aca="false">calc!$F$21</f>
        <v>9.5</v>
      </c>
      <c r="E21" s="56" t="n">
        <f aca="false">calc!$P$21</f>
        <v>57.9233008198673</v>
      </c>
      <c r="F21" s="50" t="n">
        <f aca="false">COS(E21*PI()/180)</f>
        <v>0.531054031409038</v>
      </c>
      <c r="G21" s="50" t="n">
        <f aca="false">SIN(E21*PI()/180)</f>
        <v>0.847337958387448</v>
      </c>
      <c r="H21" s="51" t="n">
        <v>57</v>
      </c>
      <c r="I21" s="52" t="n">
        <f aca="false">COS(H21*PI()/180)</f>
        <v>0.544639035015027</v>
      </c>
      <c r="J21" s="52" t="n">
        <f aca="false">SIN(H21*PI()/180)</f>
        <v>0.838670567945424</v>
      </c>
    </row>
    <row r="22" customFormat="false" ht="15" hidden="false" customHeight="false" outlineLevel="0" collapsed="false">
      <c r="D22" s="19" t="n">
        <f aca="false">calc!$F$22</f>
        <v>10</v>
      </c>
      <c r="E22" s="56" t="n">
        <f aca="false">calc!$P$22</f>
        <v>57.9433599102113</v>
      </c>
      <c r="F22" s="50" t="n">
        <f aca="false">COS(E22*PI()/180)</f>
        <v>0.530757348247474</v>
      </c>
      <c r="G22" s="50" t="n">
        <f aca="false">SIN(E22*PI()/180)</f>
        <v>0.847523826969666</v>
      </c>
      <c r="H22" s="51" t="n">
        <v>60</v>
      </c>
      <c r="I22" s="52" t="n">
        <f aca="false">COS(H22*PI()/180)</f>
        <v>0.5</v>
      </c>
      <c r="J22" s="52" t="n">
        <f aca="false">SIN(H22*PI()/180)</f>
        <v>0.866025403784439</v>
      </c>
    </row>
    <row r="23" customFormat="false" ht="15" hidden="false" customHeight="false" outlineLevel="0" collapsed="false">
      <c r="D23" s="19" t="n">
        <f aca="false">calc!$F$23</f>
        <v>10.5</v>
      </c>
      <c r="E23" s="56" t="n">
        <f aca="false">calc!$P$23</f>
        <v>57.9634188335074</v>
      </c>
      <c r="F23" s="50" t="n">
        <f aca="false">COS(E23*PI()/180)</f>
        <v>0.530460602503558</v>
      </c>
      <c r="G23" s="50" t="n">
        <f aca="false">SIN(E23*PI()/180)</f>
        <v>0.847709590125983</v>
      </c>
      <c r="H23" s="51" t="n">
        <v>63</v>
      </c>
      <c r="I23" s="52" t="n">
        <f aca="false">COS(H23*PI()/180)</f>
        <v>0.453990499739547</v>
      </c>
      <c r="J23" s="52" t="n">
        <f aca="false">SIN(H23*PI()/180)</f>
        <v>0.891006524188368</v>
      </c>
    </row>
    <row r="24" customFormat="false" ht="15" hidden="false" customHeight="false" outlineLevel="0" collapsed="false">
      <c r="D24" s="19" t="n">
        <f aca="false">calc!$F$24</f>
        <v>11</v>
      </c>
      <c r="E24" s="56" t="n">
        <f aca="false">calc!$P$24</f>
        <v>57.9834775893692</v>
      </c>
      <c r="F24" s="50" t="n">
        <f aca="false">COS(E24*PI()/180)</f>
        <v>0.530163794221</v>
      </c>
      <c r="G24" s="50" t="n">
        <f aca="false">SIN(E24*PI()/180)</f>
        <v>0.847895247832651</v>
      </c>
      <c r="H24" s="51" t="n">
        <v>66</v>
      </c>
      <c r="I24" s="52" t="n">
        <f aca="false">COS(H24*PI()/180)</f>
        <v>0.4067366430758</v>
      </c>
      <c r="J24" s="52" t="n">
        <f aca="false">SIN(H24*PI()/180)</f>
        <v>0.913545457642601</v>
      </c>
    </row>
    <row r="25" customFormat="false" ht="15" hidden="false" customHeight="false" outlineLevel="0" collapsed="false">
      <c r="D25" s="19" t="n">
        <f aca="false">calc!$F$25</f>
        <v>11.5</v>
      </c>
      <c r="E25" s="56" t="n">
        <f aca="false">calc!$P$25</f>
        <v>58.0035361774098</v>
      </c>
      <c r="F25" s="50" t="n">
        <f aca="false">COS(E25*PI()/180)</f>
        <v>0.529866923443537</v>
      </c>
      <c r="G25" s="50" t="n">
        <f aca="false">SIN(E25*PI()/180)</f>
        <v>0.848080800065938</v>
      </c>
      <c r="H25" s="51" t="n">
        <v>69</v>
      </c>
      <c r="I25" s="52" t="n">
        <f aca="false">COS(H25*PI()/180)</f>
        <v>0.3583679495453</v>
      </c>
      <c r="J25" s="52" t="n">
        <f aca="false">SIN(H25*PI()/180)</f>
        <v>0.933580426497202</v>
      </c>
    </row>
    <row r="26" customFormat="false" ht="15" hidden="false" customHeight="false" outlineLevel="0" collapsed="false">
      <c r="D26" s="19" t="n">
        <f aca="false">calc!$F$26</f>
        <v>12</v>
      </c>
      <c r="E26" s="56" t="n">
        <f aca="false">calc!$P$26</f>
        <v>58.0235945985864</v>
      </c>
      <c r="F26" s="50" t="n">
        <f aca="false">COS(E26*PI()/180)</f>
        <v>0.529569990195007</v>
      </c>
      <c r="G26" s="50" t="n">
        <f aca="false">SIN(E26*PI()/180)</f>
        <v>0.84826624681456</v>
      </c>
      <c r="H26" s="51" t="n">
        <v>72</v>
      </c>
      <c r="I26" s="52" t="n">
        <f aca="false">COS(H26*PI()/180)</f>
        <v>0.309016994374947</v>
      </c>
      <c r="J26" s="52" t="n">
        <f aca="false">SIN(H26*PI()/180)</f>
        <v>0.951056516295154</v>
      </c>
    </row>
    <row r="27" customFormat="false" ht="15" hidden="false" customHeight="false" outlineLevel="0" collapsed="false">
      <c r="D27" s="19" t="n">
        <f aca="false">calc!$F$27</f>
        <v>12.5</v>
      </c>
      <c r="E27" s="56" t="n">
        <f aca="false">calc!$P$27</f>
        <v>58.0436528525126</v>
      </c>
      <c r="F27" s="50" t="n">
        <f aca="false">COS(E27*PI()/180)</f>
        <v>0.529272994519151</v>
      </c>
      <c r="G27" s="50" t="n">
        <f aca="false">SIN(E27*PI()/180)</f>
        <v>0.848451588054811</v>
      </c>
      <c r="H27" s="51" t="n">
        <v>75</v>
      </c>
      <c r="I27" s="52" t="n">
        <f aca="false">COS(H27*PI()/180)</f>
        <v>0.258819045102521</v>
      </c>
      <c r="J27" s="52" t="n">
        <f aca="false">SIN(H27*PI()/180)</f>
        <v>0.965925826289069</v>
      </c>
    </row>
    <row r="28" customFormat="false" ht="15" hidden="false" customHeight="false" outlineLevel="0" collapsed="false">
      <c r="D28" s="19" t="n">
        <f aca="false">calc!$F$28</f>
        <v>13</v>
      </c>
      <c r="E28" s="56" t="n">
        <f aca="false">calc!$P$28</f>
        <v>58.0637109387998</v>
      </c>
      <c r="F28" s="50" t="n">
        <f aca="false">COS(E28*PI()/180)</f>
        <v>0.528975936459742</v>
      </c>
      <c r="G28" s="50" t="n">
        <f aca="false">SIN(E28*PI()/180)</f>
        <v>0.848636823762992</v>
      </c>
      <c r="H28" s="51" t="n">
        <v>78</v>
      </c>
      <c r="I28" s="52" t="n">
        <f aca="false">COS(H28*PI()/180)</f>
        <v>0.207911690817759</v>
      </c>
      <c r="J28" s="52" t="n">
        <f aca="false">SIN(H28*PI()/180)</f>
        <v>0.978147600733806</v>
      </c>
    </row>
    <row r="29" customFormat="false" ht="15" hidden="false" customHeight="false" outlineLevel="0" collapsed="false">
      <c r="D29" s="19" t="n">
        <f aca="false">calc!$F$29</f>
        <v>13.5</v>
      </c>
      <c r="E29" s="56" t="n">
        <f aca="false">calc!$P$29</f>
        <v>58.0837688584075</v>
      </c>
      <c r="F29" s="50" t="n">
        <f aca="false">COS(E29*PI()/180)</f>
        <v>0.528678816040601</v>
      </c>
      <c r="G29" s="50" t="n">
        <f aca="false">SIN(E29*PI()/180)</f>
        <v>0.848821953927859</v>
      </c>
      <c r="H29" s="51" t="n">
        <v>81</v>
      </c>
      <c r="I29" s="52" t="n">
        <f aca="false">COS(H29*PI()/180)</f>
        <v>0.156434465040231</v>
      </c>
      <c r="J29" s="52" t="n">
        <f aca="false">SIN(H29*PI()/180)</f>
        <v>0.987688340595138</v>
      </c>
    </row>
    <row r="30" customFormat="false" ht="15" hidden="false" customHeight="false" outlineLevel="0" collapsed="false">
      <c r="D30" s="19" t="n">
        <f aca="false">calc!$F$30</f>
        <v>14</v>
      </c>
      <c r="E30" s="56" t="n">
        <f aca="false">calc!$P$30</f>
        <v>58.1038266109471</v>
      </c>
      <c r="F30" s="50" t="n">
        <f aca="false">COS(E30*PI()/180)</f>
        <v>0.528381633305512</v>
      </c>
      <c r="G30" s="50" t="n">
        <f aca="false">SIN(E30*PI()/180)</f>
        <v>0.849006978525736</v>
      </c>
      <c r="H30" s="51" t="n">
        <v>84</v>
      </c>
      <c r="I30" s="52" t="n">
        <f aca="false">COS(H30*PI()/180)</f>
        <v>0.104528463267653</v>
      </c>
      <c r="J30" s="52" t="n">
        <f aca="false">SIN(H30*PI()/180)</f>
        <v>0.994521895368274</v>
      </c>
    </row>
    <row r="31" customFormat="false" ht="15" hidden="false" customHeight="false" outlineLevel="0" collapsed="false">
      <c r="D31" s="19" t="n">
        <f aca="false">calc!$F$31</f>
        <v>14.5</v>
      </c>
      <c r="E31" s="56" t="n">
        <f aca="false">calc!$P$31</f>
        <v>58.1238841960321</v>
      </c>
      <c r="F31" s="50" t="n">
        <f aca="false">COS(E31*PI()/180)</f>
        <v>0.528084388298242</v>
      </c>
      <c r="G31" s="50" t="n">
        <f aca="false">SIN(E31*PI()/180)</f>
        <v>0.849191897532985</v>
      </c>
      <c r="H31" s="51" t="n">
        <v>87</v>
      </c>
      <c r="I31" s="52" t="n">
        <f aca="false">COS(H31*PI()/180)</f>
        <v>0.052335956242944</v>
      </c>
      <c r="J31" s="52" t="n">
        <f aca="false">SIN(H31*PI()/180)</f>
        <v>0.998629534754574</v>
      </c>
    </row>
    <row r="32" customFormat="false" ht="15" hidden="false" customHeight="false" outlineLevel="0" collapsed="false">
      <c r="D32" s="19" t="n">
        <f aca="false">calc!$F$32</f>
        <v>15</v>
      </c>
      <c r="E32" s="56" t="n">
        <f aca="false">calc!$P$32</f>
        <v>58.1439416146202</v>
      </c>
      <c r="F32" s="50" t="n">
        <f aca="false">COS(E32*PI()/180)</f>
        <v>0.527787081042646</v>
      </c>
      <c r="G32" s="50" t="n">
        <f aca="false">SIN(E32*PI()/180)</f>
        <v>0.84937671093837</v>
      </c>
      <c r="H32" s="51" t="n">
        <v>90</v>
      </c>
      <c r="I32" s="52" t="n">
        <f aca="false">COS(H32*PI()/180)</f>
        <v>6.1257422745431E-017</v>
      </c>
      <c r="J32" s="52" t="n">
        <f aca="false">SIN(H32*PI()/180)</f>
        <v>1</v>
      </c>
    </row>
    <row r="33" customFormat="false" ht="15" hidden="false" customHeight="false" outlineLevel="0" collapsed="false">
      <c r="D33" s="19" t="n">
        <f aca="false">calc!$F$33</f>
        <v>15.5</v>
      </c>
      <c r="E33" s="56" t="n">
        <f aca="false">calc!$P$33</f>
        <v>58.1639988663242</v>
      </c>
      <c r="F33" s="50" t="n">
        <f aca="false">COS(E33*PI()/180)</f>
        <v>0.527489711582506</v>
      </c>
      <c r="G33" s="50" t="n">
        <f aca="false">SIN(E33*PI()/180)</f>
        <v>0.849561418718273</v>
      </c>
      <c r="H33" s="51" t="n">
        <v>93</v>
      </c>
      <c r="I33" s="52" t="n">
        <f aca="false">COS(H33*PI()/180)</f>
        <v>-0.0523359562429436</v>
      </c>
      <c r="J33" s="52" t="n">
        <f aca="false">SIN(H33*PI()/180)</f>
        <v>0.998629534754574</v>
      </c>
    </row>
    <row r="34" customFormat="false" ht="15" hidden="false" customHeight="false" outlineLevel="0" collapsed="false">
      <c r="D34" s="19" t="n">
        <f aca="false">calc!$F$34</f>
        <v>16</v>
      </c>
      <c r="E34" s="56" t="n">
        <f aca="false">calc!$P$34</f>
        <v>58.1840559507578</v>
      </c>
      <c r="F34" s="50" t="n">
        <f aca="false">COS(E34*PI()/180)</f>
        <v>0.527192279961611</v>
      </c>
      <c r="G34" s="50" t="n">
        <f aca="false">SIN(E34*PI()/180)</f>
        <v>0.849746020849099</v>
      </c>
      <c r="H34" s="51" t="n">
        <v>96</v>
      </c>
      <c r="I34" s="52" t="n">
        <f aca="false">COS(H34*PI()/180)</f>
        <v>-0.104528463267653</v>
      </c>
      <c r="J34" s="52" t="n">
        <f aca="false">SIN(H34*PI()/180)</f>
        <v>0.994521895368273</v>
      </c>
    </row>
    <row r="35" customFormat="false" ht="15" hidden="false" customHeight="false" outlineLevel="0" collapsed="false">
      <c r="D35" s="19" t="n">
        <f aca="false">calc!$F$35</f>
        <v>16.5</v>
      </c>
      <c r="E35" s="56" t="n">
        <f aca="false">calc!$P$35</f>
        <v>58.2041128688776</v>
      </c>
      <c r="F35" s="50" t="n">
        <f aca="false">COS(E35*PI()/180)</f>
        <v>0.526894786203833</v>
      </c>
      <c r="G35" s="50" t="n">
        <f aca="false">SIN(E35*PI()/180)</f>
        <v>0.849930517319632</v>
      </c>
      <c r="H35" s="51" t="n">
        <v>99</v>
      </c>
      <c r="I35" s="52" t="n">
        <f aca="false">COS(H35*PI()/180)</f>
        <v>-0.156434465040231</v>
      </c>
      <c r="J35" s="52" t="n">
        <f aca="false">SIN(H35*PI()/180)</f>
        <v>0.987688340595138</v>
      </c>
    </row>
    <row r="36" customFormat="false" ht="15" hidden="false" customHeight="false" outlineLevel="0" collapsed="false">
      <c r="D36" s="19" t="n">
        <f aca="false">calc!$F$36</f>
        <v>17</v>
      </c>
      <c r="E36" s="56" t="n">
        <f aca="false">calc!$P$36</f>
        <v>58.2241696202976</v>
      </c>
      <c r="F36" s="50" t="n">
        <f aca="false">COS(E36*PI()/180)</f>
        <v>0.526597230352962</v>
      </c>
      <c r="G36" s="50" t="n">
        <f aca="false">SIN(E36*PI()/180)</f>
        <v>0.850114908106304</v>
      </c>
      <c r="H36" s="51" t="n">
        <v>102</v>
      </c>
      <c r="I36" s="52" t="n">
        <f aca="false">COS(H36*PI()/180)</f>
        <v>-0.207911690817759</v>
      </c>
      <c r="J36" s="52" t="n">
        <f aca="false">SIN(H36*PI()/180)</f>
        <v>0.978147600733806</v>
      </c>
    </row>
    <row r="37" customFormat="false" ht="15" hidden="false" customHeight="false" outlineLevel="0" collapsed="false">
      <c r="D37" s="19" t="n">
        <f aca="false">calc!$F$37</f>
        <v>17.5</v>
      </c>
      <c r="E37" s="56" t="n">
        <f aca="false">calc!$P$37</f>
        <v>58.2442262046296</v>
      </c>
      <c r="F37" s="50" t="n">
        <f aca="false">COS(E37*PI()/180)</f>
        <v>0.526299612452832</v>
      </c>
      <c r="G37" s="50" t="n">
        <f aca="false">SIN(E37*PI()/180)</f>
        <v>0.850299193185551</v>
      </c>
      <c r="H37" s="51" t="n">
        <v>105</v>
      </c>
      <c r="I37" s="52" t="n">
        <f aca="false">COS(H37*PI()/180)</f>
        <v>-0.258819045102521</v>
      </c>
      <c r="J37" s="52" t="n">
        <f aca="false">SIN(H37*PI()/180)</f>
        <v>0.965925826289069</v>
      </c>
    </row>
    <row r="38" customFormat="false" ht="15" hidden="false" customHeight="false" outlineLevel="0" collapsed="false">
      <c r="D38" s="19" t="n">
        <f aca="false">calc!$F$38</f>
        <v>18</v>
      </c>
      <c r="E38" s="56" t="n">
        <f aca="false">calc!$P$38</f>
        <v>58.2642826228329</v>
      </c>
      <c r="F38" s="50" t="n">
        <f aca="false">COS(E38*PI()/180)</f>
        <v>0.526001932527282</v>
      </c>
      <c r="G38" s="50" t="n">
        <f aca="false">SIN(E38*PI()/180)</f>
        <v>0.850483372546204</v>
      </c>
      <c r="H38" s="51" t="n">
        <v>108</v>
      </c>
      <c r="I38" s="52" t="n">
        <f aca="false">COS(H38*PI()/180)</f>
        <v>-0.309016994374947</v>
      </c>
      <c r="J38" s="52" t="n">
        <f aca="false">SIN(H38*PI()/180)</f>
        <v>0.951056516295154</v>
      </c>
    </row>
    <row r="39" customFormat="false" ht="15" hidden="false" customHeight="false" outlineLevel="0" collapsed="false">
      <c r="D39" s="19" t="n">
        <f aca="false">calc!$F$39</f>
        <v>18.5</v>
      </c>
      <c r="E39" s="56" t="n">
        <f aca="false">calc!$P$39</f>
        <v>58.2843388745194</v>
      </c>
      <c r="F39" s="50" t="n">
        <f aca="false">COS(E39*PI()/180)</f>
        <v>0.525704190620154</v>
      </c>
      <c r="G39" s="50" t="n">
        <f aca="false">SIN(E39*PI()/180)</f>
        <v>0.850667446164721</v>
      </c>
      <c r="H39" s="51" t="n">
        <v>111</v>
      </c>
      <c r="I39" s="52" t="n">
        <f aca="false">COS(H39*PI()/180)</f>
        <v>-0.3583679495453</v>
      </c>
      <c r="J39" s="52" t="n">
        <f aca="false">SIN(H39*PI()/180)</f>
        <v>0.933580426497202</v>
      </c>
    </row>
    <row r="40" customFormat="false" ht="15" hidden="false" customHeight="false" outlineLevel="0" collapsed="false">
      <c r="D40" s="19" t="n">
        <f aca="false">calc!$F$40</f>
        <v>19</v>
      </c>
      <c r="E40" s="56" t="n">
        <f aca="false">calc!$P$40</f>
        <v>58.3043949593027</v>
      </c>
      <c r="F40" s="50" t="n">
        <f aca="false">COS(E40*PI()/180)</f>
        <v>0.525406386775275</v>
      </c>
      <c r="G40" s="50" t="n">
        <f aca="false">SIN(E40*PI()/180)</f>
        <v>0.850851414017601</v>
      </c>
      <c r="H40" s="51" t="n">
        <v>114</v>
      </c>
      <c r="I40" s="52" t="n">
        <f aca="false">COS(H40*PI()/180)</f>
        <v>-0.4067366430758</v>
      </c>
      <c r="J40" s="52" t="n">
        <f aca="false">SIN(H40*PI()/180)</f>
        <v>0.913545457642601</v>
      </c>
    </row>
    <row r="41" customFormat="false" ht="15" hidden="false" customHeight="false" outlineLevel="0" collapsed="false">
      <c r="D41" s="19" t="n">
        <f aca="false">calc!$F$41</f>
        <v>19.5</v>
      </c>
      <c r="E41" s="56" t="n">
        <f aca="false">calc!$P$41</f>
        <v>58.324450878141</v>
      </c>
      <c r="F41" s="50" t="n">
        <f aca="false">COS(E41*PI()/180)</f>
        <v>0.52510852101651</v>
      </c>
      <c r="G41" s="50" t="n">
        <f aca="false">SIN(E41*PI()/180)</f>
        <v>0.851035276093684</v>
      </c>
      <c r="H41" s="51" t="n">
        <v>117</v>
      </c>
      <c r="I41" s="52" t="n">
        <f aca="false">COS(H41*PI()/180)</f>
        <v>-0.453990499739547</v>
      </c>
      <c r="J41" s="52" t="n">
        <f aca="false">SIN(H41*PI()/180)</f>
        <v>0.891006524188368</v>
      </c>
    </row>
    <row r="42" customFormat="false" ht="15" hidden="false" customHeight="false" outlineLevel="0" collapsed="false">
      <c r="D42" s="19" t="n">
        <f aca="false">calc!$F$42</f>
        <v>20</v>
      </c>
      <c r="E42" s="56" t="n">
        <f aca="false">calc!$P$42</f>
        <v>58.344506630646</v>
      </c>
      <c r="F42" s="50" t="n">
        <f aca="false">COS(E42*PI()/180)</f>
        <v>0.524810593387723</v>
      </c>
      <c r="G42" s="50" t="n">
        <f aca="false">SIN(E42*PI()/180)</f>
        <v>0.851219032369475</v>
      </c>
      <c r="H42" s="51" t="n">
        <v>120</v>
      </c>
      <c r="I42" s="52" t="n">
        <f aca="false">COS(H42*PI()/180)</f>
        <v>-0.5</v>
      </c>
      <c r="J42" s="52" t="n">
        <f aca="false">SIN(H42*PI()/180)</f>
        <v>0.866025403784439</v>
      </c>
    </row>
    <row r="43" customFormat="false" ht="15" hidden="false" customHeight="false" outlineLevel="0" collapsed="false">
      <c r="D43" s="19" t="n">
        <f aca="false">calc!$F$43</f>
        <v>20.5</v>
      </c>
      <c r="E43" s="56" t="n">
        <f aca="false">calc!$P$43</f>
        <v>58.3645622164329</v>
      </c>
      <c r="F43" s="50" t="n">
        <f aca="false">COS(E43*PI()/180)</f>
        <v>0.524512603932737</v>
      </c>
      <c r="G43" s="50" t="n">
        <f aca="false">SIN(E43*PI()/180)</f>
        <v>0.851402682821531</v>
      </c>
      <c r="H43" s="51" t="n">
        <v>123</v>
      </c>
      <c r="I43" s="52" t="n">
        <f aca="false">COS(H43*PI()/180)</f>
        <v>-0.544639035015027</v>
      </c>
      <c r="J43" s="52" t="n">
        <f aca="false">SIN(H43*PI()/180)</f>
        <v>0.838670567945424</v>
      </c>
    </row>
    <row r="44" customFormat="false" ht="15" hidden="false" customHeight="false" outlineLevel="0" collapsed="false">
      <c r="D44" s="19" t="n">
        <f aca="false">calc!$F$44</f>
        <v>21</v>
      </c>
      <c r="E44" s="56" t="n">
        <f aca="false">calc!$P$44</f>
        <v>58.3846176364578</v>
      </c>
      <c r="F44" s="50" t="n">
        <f aca="false">COS(E44*PI()/180)</f>
        <v>0.524214552675453</v>
      </c>
      <c r="G44" s="50" t="n">
        <f aca="false">SIN(E44*PI()/180)</f>
        <v>0.851586227438698</v>
      </c>
      <c r="H44" s="51" t="n">
        <v>126</v>
      </c>
      <c r="I44" s="52" t="n">
        <f aca="false">COS(H44*PI()/180)</f>
        <v>-0.587785252292473</v>
      </c>
      <c r="J44" s="52" t="n">
        <f aca="false">SIN(H44*PI()/180)</f>
        <v>0.809016994374947</v>
      </c>
    </row>
    <row r="45" customFormat="false" ht="15" hidden="false" customHeight="false" outlineLevel="0" collapsed="false">
      <c r="D45" s="19" t="n">
        <f aca="false">calc!$F$45</f>
        <v>21.5</v>
      </c>
      <c r="E45" s="56" t="n">
        <f aca="false">calc!$P$45</f>
        <v>58.4046728903352</v>
      </c>
      <c r="F45" s="50" t="n">
        <f aca="false">COS(E45*PI()/180)</f>
        <v>0.523916439659718</v>
      </c>
      <c r="G45" s="50" t="n">
        <f aca="false">SIN(E45*PI()/180)</f>
        <v>0.85176966619755</v>
      </c>
      <c r="H45" s="51" t="n">
        <v>129</v>
      </c>
      <c r="I45" s="52" t="n">
        <f aca="false">COS(H45*PI()/180)</f>
        <v>-0.629320391049837</v>
      </c>
      <c r="J45" s="52" t="n">
        <f aca="false">SIN(H45*PI()/180)</f>
        <v>0.777145961456971</v>
      </c>
    </row>
    <row r="46" customFormat="false" ht="15" hidden="false" customHeight="false" outlineLevel="0" collapsed="false">
      <c r="D46" s="19" t="n">
        <f aca="false">calc!$F$46</f>
        <v>22</v>
      </c>
      <c r="E46" s="56" t="n">
        <f aca="false">calc!$P$46</f>
        <v>58.4247279776772</v>
      </c>
      <c r="F46" s="50" t="n">
        <f aca="false">COS(E46*PI()/180)</f>
        <v>0.523618264929415</v>
      </c>
      <c r="G46" s="50" t="n">
        <f aca="false">SIN(E46*PI()/180)</f>
        <v>0.851952999074661</v>
      </c>
      <c r="H46" s="51" t="n">
        <v>132</v>
      </c>
      <c r="I46" s="52" t="n">
        <f aca="false">COS(H46*PI()/180)</f>
        <v>-0.669130606358858</v>
      </c>
      <c r="J46" s="52" t="n">
        <f aca="false">SIN(H46*PI()/180)</f>
        <v>0.743144825477394</v>
      </c>
    </row>
    <row r="47" customFormat="false" ht="15" hidden="false" customHeight="false" outlineLevel="0" collapsed="false">
      <c r="D47" s="19" t="n">
        <f aca="false">calc!$F$47</f>
        <v>22.5</v>
      </c>
      <c r="E47" s="56" t="n">
        <f aca="false">calc!$P$47</f>
        <v>58.4447828994422</v>
      </c>
      <c r="F47" s="50" t="n">
        <f aca="false">COS(E47*PI()/180)</f>
        <v>0.523320028508427</v>
      </c>
      <c r="G47" s="50" t="n">
        <f aca="false">SIN(E47*PI()/180)</f>
        <v>0.85213622605892</v>
      </c>
      <c r="H47" s="51" t="n">
        <v>135</v>
      </c>
      <c r="I47" s="52" t="n">
        <f aca="false">COS(H47*PI()/180)</f>
        <v>-0.707106781186547</v>
      </c>
      <c r="J47" s="52" t="n">
        <f aca="false">SIN(H47*PI()/180)</f>
        <v>0.707106781186548</v>
      </c>
    </row>
    <row r="48" customFormat="false" ht="15" hidden="false" customHeight="false" outlineLevel="0" collapsed="false">
      <c r="D48" s="19" t="n">
        <f aca="false">calc!$F$48</f>
        <v>23</v>
      </c>
      <c r="E48" s="56" t="n">
        <f aca="false">calc!$P$48</f>
        <v>58.4648376552438</v>
      </c>
      <c r="F48" s="50" t="n">
        <f aca="false">COS(E48*PI()/180)</f>
        <v>0.523021730440624</v>
      </c>
      <c r="G48" s="50" t="n">
        <f aca="false">SIN(E48*PI()/180)</f>
        <v>0.852319347126941</v>
      </c>
      <c r="H48" s="51" t="n">
        <v>138</v>
      </c>
      <c r="I48" s="52" t="n">
        <f aca="false">COS(H48*PI()/180)</f>
        <v>-0.743144825477394</v>
      </c>
      <c r="J48" s="52" t="n">
        <f aca="false">SIN(H48*PI()/180)</f>
        <v>0.669130606358858</v>
      </c>
    </row>
    <row r="49" customFormat="false" ht="15" hidden="false" customHeight="false" outlineLevel="0" collapsed="false">
      <c r="D49" s="19" t="n">
        <f aca="false">calc!$F$49</f>
        <v>23.5</v>
      </c>
      <c r="E49" s="56" t="n">
        <f aca="false">calc!$P$49</f>
        <v>58.4848922446942</v>
      </c>
      <c r="F49" s="50" t="n">
        <f aca="false">COS(E49*PI()/180)</f>
        <v>0.522723370769917</v>
      </c>
      <c r="G49" s="50" t="n">
        <f aca="false">SIN(E49*PI()/180)</f>
        <v>0.85250236225534</v>
      </c>
      <c r="H49" s="51" t="n">
        <v>141</v>
      </c>
      <c r="I49" s="52" t="n">
        <f aca="false">COS(H49*PI()/180)</f>
        <v>-0.777145961456971</v>
      </c>
      <c r="J49" s="52" t="n">
        <f aca="false">SIN(H49*PI()/180)</f>
        <v>0.629320391049838</v>
      </c>
    </row>
    <row r="50" customFormat="false" ht="15" hidden="false" customHeight="false" outlineLevel="0" collapsed="false">
      <c r="D50" s="19" t="n">
        <f aca="false">calc!$F$50</f>
        <v>24</v>
      </c>
      <c r="E50" s="56" t="n">
        <f aca="false">calc!$P$50</f>
        <v>58.5049466687529</v>
      </c>
      <c r="F50" s="50" t="n">
        <f aca="false">COS(E50*PI()/180)</f>
        <v>0.522424949520174</v>
      </c>
      <c r="G50" s="50" t="n">
        <f aca="false">SIN(E50*PI()/180)</f>
        <v>0.852685271433044</v>
      </c>
      <c r="H50" s="51" t="n">
        <v>144</v>
      </c>
      <c r="I50" s="52" t="n">
        <f aca="false">COS(H50*PI()/180)</f>
        <v>-0.809016994374947</v>
      </c>
      <c r="J50" s="52" t="n">
        <f aca="false">SIN(H50*PI()/180)</f>
        <v>0.587785252292473</v>
      </c>
    </row>
    <row r="51" customFormat="false" ht="15" hidden="false" customHeight="false" outlineLevel="0" collapsed="false">
      <c r="H51" s="51" t="n">
        <v>147</v>
      </c>
      <c r="I51" s="52" t="n">
        <f aca="false">COS(H51*PI()/180)</f>
        <v>-0.838670567945424</v>
      </c>
      <c r="J51" s="52" t="n">
        <f aca="false">SIN(H51*PI()/180)</f>
        <v>0.544639035015027</v>
      </c>
    </row>
    <row r="52" customFormat="false" ht="15" hidden="false" customHeight="false" outlineLevel="0" collapsed="false">
      <c r="H52" s="51" t="n">
        <v>150</v>
      </c>
      <c r="I52" s="52" t="n">
        <f aca="false">COS(H52*PI()/180)</f>
        <v>-0.866025403784439</v>
      </c>
      <c r="J52" s="52" t="n">
        <f aca="false">SIN(H52*PI()/180)</f>
        <v>0.5</v>
      </c>
    </row>
    <row r="53" customFormat="false" ht="15" hidden="false" customHeight="false" outlineLevel="0" collapsed="false">
      <c r="H53" s="51" t="n">
        <v>153</v>
      </c>
      <c r="I53" s="52" t="n">
        <f aca="false">COS(H53*PI()/180)</f>
        <v>-0.891006524188368</v>
      </c>
      <c r="J53" s="52" t="n">
        <f aca="false">SIN(H53*PI()/180)</f>
        <v>0.453990499739547</v>
      </c>
    </row>
    <row r="54" customFormat="false" ht="15" hidden="false" customHeight="false" outlineLevel="0" collapsed="false">
      <c r="H54" s="51" t="n">
        <v>156</v>
      </c>
      <c r="I54" s="52" t="n">
        <f aca="false">COS(H54*PI()/180)</f>
        <v>-0.913545457642601</v>
      </c>
      <c r="J54" s="52" t="n">
        <f aca="false">SIN(H54*PI()/180)</f>
        <v>0.4067366430758</v>
      </c>
    </row>
    <row r="55" customFormat="false" ht="15" hidden="false" customHeight="false" outlineLevel="0" collapsed="false">
      <c r="H55" s="51" t="n">
        <v>159</v>
      </c>
      <c r="I55" s="52" t="n">
        <f aca="false">COS(H55*PI()/180)</f>
        <v>-0.933580426497202</v>
      </c>
      <c r="J55" s="52" t="n">
        <f aca="false">SIN(H55*PI()/180)</f>
        <v>0.3583679495453</v>
      </c>
    </row>
    <row r="56" customFormat="false" ht="15" hidden="false" customHeight="false" outlineLevel="0" collapsed="false">
      <c r="H56" s="51" t="n">
        <v>162</v>
      </c>
      <c r="I56" s="52" t="n">
        <f aca="false">COS(H56*PI()/180)</f>
        <v>-0.951056516295154</v>
      </c>
      <c r="J56" s="52" t="n">
        <f aca="false">SIN(H56*PI()/180)</f>
        <v>0.309016994374948</v>
      </c>
    </row>
    <row r="57" customFormat="false" ht="15" hidden="false" customHeight="false" outlineLevel="0" collapsed="false">
      <c r="H57" s="51" t="n">
        <v>165</v>
      </c>
      <c r="I57" s="52" t="n">
        <f aca="false">COS(H57*PI()/180)</f>
        <v>-0.965925826289068</v>
      </c>
      <c r="J57" s="52" t="n">
        <f aca="false">SIN(H57*PI()/180)</f>
        <v>0.258819045102521</v>
      </c>
    </row>
    <row r="58" customFormat="false" ht="15" hidden="false" customHeight="false" outlineLevel="0" collapsed="false">
      <c r="H58" s="51" t="n">
        <v>168</v>
      </c>
      <c r="I58" s="52" t="n">
        <f aca="false">COS(H58*PI()/180)</f>
        <v>-0.978147600733806</v>
      </c>
      <c r="J58" s="52" t="n">
        <f aca="false">SIN(H58*PI()/180)</f>
        <v>0.207911690817759</v>
      </c>
    </row>
    <row r="59" customFormat="false" ht="15" hidden="false" customHeight="false" outlineLevel="0" collapsed="false">
      <c r="H59" s="51" t="n">
        <v>171</v>
      </c>
      <c r="I59" s="52" t="n">
        <f aca="false">COS(H59*PI()/180)</f>
        <v>-0.987688340595138</v>
      </c>
      <c r="J59" s="52" t="n">
        <f aca="false">SIN(H59*PI()/180)</f>
        <v>0.156434465040231</v>
      </c>
    </row>
    <row r="60" customFormat="false" ht="15" hidden="false" customHeight="false" outlineLevel="0" collapsed="false">
      <c r="H60" s="51" t="n">
        <v>174</v>
      </c>
      <c r="I60" s="52" t="n">
        <f aca="false">COS(H60*PI()/180)</f>
        <v>-0.994521895368274</v>
      </c>
      <c r="J60" s="52" t="n">
        <f aca="false">SIN(H60*PI()/180)</f>
        <v>0.104528463267654</v>
      </c>
    </row>
    <row r="61" customFormat="false" ht="15" hidden="false" customHeight="false" outlineLevel="0" collapsed="false">
      <c r="H61" s="51" t="n">
        <v>177</v>
      </c>
      <c r="I61" s="52" t="n">
        <f aca="false">COS(H61*PI()/180)</f>
        <v>-0.998629534754574</v>
      </c>
      <c r="J61" s="52" t="n">
        <f aca="false">SIN(H61*PI()/180)</f>
        <v>0.0523359562429438</v>
      </c>
    </row>
    <row r="62" customFormat="false" ht="15" hidden="false" customHeight="false" outlineLevel="0" collapsed="false">
      <c r="H62" s="51" t="n">
        <v>180</v>
      </c>
      <c r="I62" s="52" t="n">
        <f aca="false">COS(H62*PI()/180)</f>
        <v>-1</v>
      </c>
      <c r="J62" s="52" t="n">
        <f aca="false">SIN(H62*PI()/180)</f>
        <v>1.22514845490862E-016</v>
      </c>
    </row>
    <row r="63" customFormat="false" ht="15" hidden="false" customHeight="false" outlineLevel="0" collapsed="false">
      <c r="H63" s="51" t="n">
        <v>183</v>
      </c>
      <c r="I63" s="52" t="n">
        <f aca="false">COS(H63*PI()/180)</f>
        <v>-0.998629534754574</v>
      </c>
      <c r="J63" s="52" t="n">
        <f aca="false">SIN(H63*PI()/180)</f>
        <v>-0.0523359562429436</v>
      </c>
    </row>
    <row r="64" customFormat="false" ht="15" hidden="false" customHeight="false" outlineLevel="0" collapsed="false">
      <c r="H64" s="51" t="n">
        <v>186</v>
      </c>
      <c r="I64" s="52" t="n">
        <f aca="false">COS(H64*PI()/180)</f>
        <v>-0.994521895368273</v>
      </c>
      <c r="J64" s="52" t="n">
        <f aca="false">SIN(H64*PI()/180)</f>
        <v>-0.104528463267653</v>
      </c>
    </row>
    <row r="65" customFormat="false" ht="15" hidden="false" customHeight="false" outlineLevel="0" collapsed="false">
      <c r="H65" s="51" t="n">
        <v>189</v>
      </c>
      <c r="I65" s="52" t="n">
        <f aca="false">COS(H65*PI()/180)</f>
        <v>-0.987688340595138</v>
      </c>
      <c r="J65" s="52" t="n">
        <f aca="false">SIN(H65*PI()/180)</f>
        <v>-0.156434465040231</v>
      </c>
    </row>
    <row r="66" customFormat="false" ht="15" hidden="false" customHeight="false" outlineLevel="0" collapsed="false">
      <c r="H66" s="51" t="n">
        <v>192</v>
      </c>
      <c r="I66" s="52" t="n">
        <f aca="false">COS(H66*PI()/180)</f>
        <v>-0.978147600733806</v>
      </c>
      <c r="J66" s="52" t="n">
        <f aca="false">SIN(H66*PI()/180)</f>
        <v>-0.207911690817759</v>
      </c>
    </row>
    <row r="67" customFormat="false" ht="15" hidden="false" customHeight="false" outlineLevel="0" collapsed="false">
      <c r="H67" s="51" t="n">
        <v>195</v>
      </c>
      <c r="I67" s="52" t="n">
        <f aca="false">COS(H67*PI()/180)</f>
        <v>-0.965925826289069</v>
      </c>
      <c r="J67" s="52" t="n">
        <f aca="false">SIN(H67*PI()/180)</f>
        <v>-0.25881904510252</v>
      </c>
    </row>
    <row r="68" customFormat="false" ht="15" hidden="false" customHeight="false" outlineLevel="0" collapsed="false">
      <c r="H68" s="51" t="n">
        <v>198</v>
      </c>
      <c r="I68" s="52" t="n">
        <f aca="false">COS(H68*PI()/180)</f>
        <v>-0.951056516295154</v>
      </c>
      <c r="J68" s="52" t="n">
        <f aca="false">SIN(H68*PI()/180)</f>
        <v>-0.309016994374948</v>
      </c>
    </row>
    <row r="69" customFormat="false" ht="15" hidden="false" customHeight="false" outlineLevel="0" collapsed="false">
      <c r="H69" s="51" t="n">
        <v>201</v>
      </c>
      <c r="I69" s="52" t="n">
        <f aca="false">COS(H69*PI()/180)</f>
        <v>-0.933580426497202</v>
      </c>
      <c r="J69" s="52" t="n">
        <f aca="false">SIN(H69*PI()/180)</f>
        <v>-0.3583679495453</v>
      </c>
    </row>
    <row r="70" customFormat="false" ht="15" hidden="false" customHeight="false" outlineLevel="0" collapsed="false">
      <c r="H70" s="51" t="n">
        <v>204</v>
      </c>
      <c r="I70" s="52" t="n">
        <f aca="false">COS(H70*PI()/180)</f>
        <v>-0.913545457642601</v>
      </c>
      <c r="J70" s="52" t="n">
        <f aca="false">SIN(H70*PI()/180)</f>
        <v>-0.4067366430758</v>
      </c>
    </row>
    <row r="71" customFormat="false" ht="15" hidden="false" customHeight="false" outlineLevel="0" collapsed="false">
      <c r="H71" s="51" t="n">
        <v>207</v>
      </c>
      <c r="I71" s="52" t="n">
        <f aca="false">COS(H71*PI()/180)</f>
        <v>-0.891006524188368</v>
      </c>
      <c r="J71" s="52" t="n">
        <f aca="false">SIN(H71*PI()/180)</f>
        <v>-0.453990499739546</v>
      </c>
    </row>
    <row r="72" customFormat="false" ht="15" hidden="false" customHeight="false" outlineLevel="0" collapsed="false">
      <c r="H72" s="51" t="n">
        <v>210</v>
      </c>
      <c r="I72" s="52" t="n">
        <f aca="false">COS(H72*PI()/180)</f>
        <v>-0.866025403784439</v>
      </c>
      <c r="J72" s="52" t="n">
        <f aca="false">SIN(H72*PI()/180)</f>
        <v>-0.5</v>
      </c>
    </row>
    <row r="73" customFormat="false" ht="15" hidden="false" customHeight="false" outlineLevel="0" collapsed="false">
      <c r="H73" s="51" t="n">
        <v>213</v>
      </c>
      <c r="I73" s="52" t="n">
        <f aca="false">COS(H73*PI()/180)</f>
        <v>-0.838670567945424</v>
      </c>
      <c r="J73" s="52" t="n">
        <f aca="false">SIN(H73*PI()/180)</f>
        <v>-0.544639035015027</v>
      </c>
    </row>
    <row r="74" customFormat="false" ht="15" hidden="false" customHeight="false" outlineLevel="0" collapsed="false">
      <c r="H74" s="51" t="n">
        <v>216</v>
      </c>
      <c r="I74" s="52" t="n">
        <f aca="false">COS(H74*PI()/180)</f>
        <v>-0.809016994374947</v>
      </c>
      <c r="J74" s="52" t="n">
        <f aca="false">SIN(H74*PI()/180)</f>
        <v>-0.587785252292473</v>
      </c>
    </row>
    <row r="75" customFormat="false" ht="15" hidden="false" customHeight="false" outlineLevel="0" collapsed="false">
      <c r="H75" s="51" t="n">
        <v>219</v>
      </c>
      <c r="I75" s="52" t="n">
        <f aca="false">COS(H75*PI()/180)</f>
        <v>-0.777145961456971</v>
      </c>
      <c r="J75" s="52" t="n">
        <f aca="false">SIN(H75*PI()/180)</f>
        <v>-0.629320391049838</v>
      </c>
    </row>
    <row r="76" customFormat="false" ht="15" hidden="false" customHeight="false" outlineLevel="0" collapsed="false">
      <c r="H76" s="51" t="n">
        <v>222</v>
      </c>
      <c r="I76" s="52" t="n">
        <f aca="false">COS(H76*PI()/180)</f>
        <v>-0.743144825477394</v>
      </c>
      <c r="J76" s="52" t="n">
        <f aca="false">SIN(H76*PI()/180)</f>
        <v>-0.669130606358858</v>
      </c>
    </row>
    <row r="77" customFormat="false" ht="15" hidden="false" customHeight="false" outlineLevel="0" collapsed="false">
      <c r="H77" s="51" t="n">
        <v>225</v>
      </c>
      <c r="I77" s="52" t="n">
        <f aca="false">COS(H77*PI()/180)</f>
        <v>-0.707106781186548</v>
      </c>
      <c r="J77" s="52" t="n">
        <f aca="false">SIN(H77*PI()/180)</f>
        <v>-0.707106781186547</v>
      </c>
    </row>
    <row r="78" customFormat="false" ht="15" hidden="false" customHeight="false" outlineLevel="0" collapsed="false">
      <c r="H78" s="51" t="n">
        <v>228</v>
      </c>
      <c r="I78" s="52" t="n">
        <f aca="false">COS(H78*PI()/180)</f>
        <v>-0.669130606358859</v>
      </c>
      <c r="J78" s="52" t="n">
        <f aca="false">SIN(H78*PI()/180)</f>
        <v>-0.743144825477394</v>
      </c>
    </row>
    <row r="79" customFormat="false" ht="15" hidden="false" customHeight="false" outlineLevel="0" collapsed="false">
      <c r="H79" s="51" t="n">
        <v>231</v>
      </c>
      <c r="I79" s="52" t="n">
        <f aca="false">COS(H79*PI()/180)</f>
        <v>-0.629320391049837</v>
      </c>
      <c r="J79" s="52" t="n">
        <f aca="false">SIN(H79*PI()/180)</f>
        <v>-0.777145961456971</v>
      </c>
    </row>
    <row r="80" customFormat="false" ht="15" hidden="false" customHeight="false" outlineLevel="0" collapsed="false">
      <c r="H80" s="51" t="n">
        <v>234</v>
      </c>
      <c r="I80" s="52" t="n">
        <f aca="false">COS(H80*PI()/180)</f>
        <v>-0.587785252292473</v>
      </c>
      <c r="J80" s="52" t="n">
        <f aca="false">SIN(H80*PI()/180)</f>
        <v>-0.809016994374947</v>
      </c>
    </row>
    <row r="81" customFormat="false" ht="15" hidden="false" customHeight="false" outlineLevel="0" collapsed="false">
      <c r="H81" s="51" t="n">
        <v>237</v>
      </c>
      <c r="I81" s="52" t="n">
        <f aca="false">COS(H81*PI()/180)</f>
        <v>-0.544639035015027</v>
      </c>
      <c r="J81" s="52" t="n">
        <f aca="false">SIN(H81*PI()/180)</f>
        <v>-0.838670567945424</v>
      </c>
    </row>
    <row r="82" customFormat="false" ht="15" hidden="false" customHeight="false" outlineLevel="0" collapsed="false">
      <c r="H82" s="51" t="n">
        <v>240</v>
      </c>
      <c r="I82" s="52" t="n">
        <f aca="false">COS(H82*PI()/180)</f>
        <v>-0.500000000000001</v>
      </c>
      <c r="J82" s="52" t="n">
        <f aca="false">SIN(H82*PI()/180)</f>
        <v>-0.866025403784438</v>
      </c>
    </row>
    <row r="83" customFormat="false" ht="15" hidden="false" customHeight="false" outlineLevel="0" collapsed="false">
      <c r="H83" s="51" t="n">
        <v>243</v>
      </c>
      <c r="I83" s="52" t="n">
        <f aca="false">COS(H83*PI()/180)</f>
        <v>-0.453990499739547</v>
      </c>
      <c r="J83" s="52" t="n">
        <f aca="false">SIN(H83*PI()/180)</f>
        <v>-0.891006524188368</v>
      </c>
    </row>
    <row r="84" customFormat="false" ht="15" hidden="false" customHeight="false" outlineLevel="0" collapsed="false">
      <c r="H84" s="51" t="n">
        <v>246</v>
      </c>
      <c r="I84" s="52" t="n">
        <f aca="false">COS(H84*PI()/180)</f>
        <v>-0.4067366430758</v>
      </c>
      <c r="J84" s="52" t="n">
        <f aca="false">SIN(H84*PI()/180)</f>
        <v>-0.913545457642601</v>
      </c>
    </row>
    <row r="85" customFormat="false" ht="15" hidden="false" customHeight="false" outlineLevel="0" collapsed="false">
      <c r="H85" s="51" t="n">
        <v>249</v>
      </c>
      <c r="I85" s="52" t="n">
        <f aca="false">COS(H85*PI()/180)</f>
        <v>-0.358367949545301</v>
      </c>
      <c r="J85" s="52" t="n">
        <f aca="false">SIN(H85*PI()/180)</f>
        <v>-0.933580426497202</v>
      </c>
    </row>
    <row r="86" customFormat="false" ht="15" hidden="false" customHeight="false" outlineLevel="0" collapsed="false">
      <c r="H86" s="51" t="n">
        <v>252</v>
      </c>
      <c r="I86" s="52" t="n">
        <f aca="false">COS(H86*PI()/180)</f>
        <v>-0.309016994374948</v>
      </c>
      <c r="J86" s="52" t="n">
        <f aca="false">SIN(H86*PI()/180)</f>
        <v>-0.951056516295154</v>
      </c>
    </row>
    <row r="87" customFormat="false" ht="15" hidden="false" customHeight="false" outlineLevel="0" collapsed="false">
      <c r="H87" s="51" t="n">
        <v>255</v>
      </c>
      <c r="I87" s="52" t="n">
        <f aca="false">COS(H87*PI()/180)</f>
        <v>-0.258819045102521</v>
      </c>
      <c r="J87" s="52" t="n">
        <f aca="false">SIN(H87*PI()/180)</f>
        <v>-0.965925826289069</v>
      </c>
    </row>
    <row r="88" customFormat="false" ht="15" hidden="false" customHeight="false" outlineLevel="0" collapsed="false">
      <c r="H88" s="51" t="n">
        <v>258</v>
      </c>
      <c r="I88" s="52" t="n">
        <f aca="false">COS(H88*PI()/180)</f>
        <v>-0.20791169081776</v>
      </c>
      <c r="J88" s="52" t="n">
        <f aca="false">SIN(H88*PI()/180)</f>
        <v>-0.978147600733806</v>
      </c>
    </row>
    <row r="89" customFormat="false" ht="15" hidden="false" customHeight="false" outlineLevel="0" collapsed="false">
      <c r="H89" s="51" t="n">
        <v>261</v>
      </c>
      <c r="I89" s="52" t="n">
        <f aca="false">COS(H89*PI()/180)</f>
        <v>-0.156434465040231</v>
      </c>
      <c r="J89" s="52" t="n">
        <f aca="false">SIN(H89*PI()/180)</f>
        <v>-0.987688340595138</v>
      </c>
    </row>
    <row r="90" customFormat="false" ht="15" hidden="false" customHeight="false" outlineLevel="0" collapsed="false">
      <c r="H90" s="51" t="n">
        <v>264</v>
      </c>
      <c r="I90" s="52" t="n">
        <f aca="false">COS(H90*PI()/180)</f>
        <v>-0.104528463267653</v>
      </c>
      <c r="J90" s="52" t="n">
        <f aca="false">SIN(H90*PI()/180)</f>
        <v>-0.994521895368273</v>
      </c>
    </row>
    <row r="91" customFormat="false" ht="15" hidden="false" customHeight="false" outlineLevel="0" collapsed="false">
      <c r="H91" s="51" t="n">
        <v>267</v>
      </c>
      <c r="I91" s="52" t="n">
        <f aca="false">COS(H91*PI()/180)</f>
        <v>-0.0523359562429443</v>
      </c>
      <c r="J91" s="52" t="n">
        <f aca="false">SIN(H91*PI()/180)</f>
        <v>-0.998629534754574</v>
      </c>
    </row>
    <row r="92" customFormat="false" ht="15" hidden="false" customHeight="false" outlineLevel="0" collapsed="false">
      <c r="H92" s="51" t="n">
        <v>270</v>
      </c>
      <c r="I92" s="52" t="n">
        <f aca="false">COS(H92*PI()/180)</f>
        <v>-1.83772268236293E-016</v>
      </c>
      <c r="J92" s="52" t="n">
        <f aca="false">SIN(H92*PI()/180)</f>
        <v>-1</v>
      </c>
    </row>
    <row r="93" customFormat="false" ht="15" hidden="false" customHeight="false" outlineLevel="0" collapsed="false">
      <c r="H93" s="51" t="n">
        <v>273</v>
      </c>
      <c r="I93" s="52" t="n">
        <f aca="false">COS(H93*PI()/180)</f>
        <v>0.0523359562429439</v>
      </c>
      <c r="J93" s="52" t="n">
        <f aca="false">SIN(H93*PI()/180)</f>
        <v>-0.998629534754574</v>
      </c>
    </row>
    <row r="94" customFormat="false" ht="15" hidden="false" customHeight="false" outlineLevel="0" collapsed="false">
      <c r="H94" s="51" t="n">
        <v>276</v>
      </c>
      <c r="I94" s="52" t="n">
        <f aca="false">COS(H94*PI()/180)</f>
        <v>0.104528463267653</v>
      </c>
      <c r="J94" s="52" t="n">
        <f aca="false">SIN(H94*PI()/180)</f>
        <v>-0.994521895368273</v>
      </c>
    </row>
    <row r="95" customFormat="false" ht="15" hidden="false" customHeight="false" outlineLevel="0" collapsed="false">
      <c r="H95" s="51" t="n">
        <v>279</v>
      </c>
      <c r="I95" s="52" t="n">
        <f aca="false">COS(H95*PI()/180)</f>
        <v>0.156434465040231</v>
      </c>
      <c r="J95" s="52" t="n">
        <f aca="false">SIN(H95*PI()/180)</f>
        <v>-0.987688340595138</v>
      </c>
    </row>
    <row r="96" customFormat="false" ht="15" hidden="false" customHeight="false" outlineLevel="0" collapsed="false">
      <c r="H96" s="51" t="n">
        <v>282</v>
      </c>
      <c r="I96" s="52" t="n">
        <f aca="false">COS(H96*PI()/180)</f>
        <v>0.207911690817759</v>
      </c>
      <c r="J96" s="52" t="n">
        <f aca="false">SIN(H96*PI()/180)</f>
        <v>-0.978147600733806</v>
      </c>
    </row>
    <row r="97" customFormat="false" ht="15" hidden="false" customHeight="false" outlineLevel="0" collapsed="false">
      <c r="H97" s="51" t="n">
        <v>285</v>
      </c>
      <c r="I97" s="52" t="n">
        <f aca="false">COS(H97*PI()/180)</f>
        <v>0.258819045102521</v>
      </c>
      <c r="J97" s="52" t="n">
        <f aca="false">SIN(H97*PI()/180)</f>
        <v>-0.965925826289068</v>
      </c>
    </row>
    <row r="98" customFormat="false" ht="15" hidden="false" customHeight="false" outlineLevel="0" collapsed="false">
      <c r="H98" s="51" t="n">
        <v>288</v>
      </c>
      <c r="I98" s="52" t="n">
        <f aca="false">COS(H98*PI()/180)</f>
        <v>0.309016994374947</v>
      </c>
      <c r="J98" s="52" t="n">
        <f aca="false">SIN(H98*PI()/180)</f>
        <v>-0.951056516295154</v>
      </c>
    </row>
    <row r="99" customFormat="false" ht="15" hidden="false" customHeight="false" outlineLevel="0" collapsed="false">
      <c r="H99" s="51" t="n">
        <v>291</v>
      </c>
      <c r="I99" s="52" t="n">
        <f aca="false">COS(H99*PI()/180)</f>
        <v>0.3583679495453</v>
      </c>
      <c r="J99" s="52" t="n">
        <f aca="false">SIN(H99*PI()/180)</f>
        <v>-0.933580426497202</v>
      </c>
    </row>
    <row r="100" customFormat="false" ht="15" hidden="false" customHeight="false" outlineLevel="0" collapsed="false">
      <c r="H100" s="51" t="n">
        <v>294</v>
      </c>
      <c r="I100" s="52" t="n">
        <f aca="false">COS(H100*PI()/180)</f>
        <v>0.4067366430758</v>
      </c>
      <c r="J100" s="52" t="n">
        <f aca="false">SIN(H100*PI()/180)</f>
        <v>-0.913545457642601</v>
      </c>
    </row>
    <row r="101" customFormat="false" ht="15" hidden="false" customHeight="false" outlineLevel="0" collapsed="false">
      <c r="H101" s="51" t="n">
        <v>297</v>
      </c>
      <c r="I101" s="52" t="n">
        <f aca="false">COS(H101*PI()/180)</f>
        <v>0.453990499739547</v>
      </c>
      <c r="J101" s="52" t="n">
        <f aca="false">SIN(H101*PI()/180)</f>
        <v>-0.891006524188368</v>
      </c>
    </row>
    <row r="102" customFormat="false" ht="15" hidden="false" customHeight="false" outlineLevel="0" collapsed="false">
      <c r="H102" s="51" t="n">
        <v>300</v>
      </c>
      <c r="I102" s="52" t="n">
        <f aca="false">COS(H102*PI()/180)</f>
        <v>0.5</v>
      </c>
      <c r="J102" s="52" t="n">
        <f aca="false">SIN(H102*PI()/180)</f>
        <v>-0.866025403784439</v>
      </c>
    </row>
    <row r="103" customFormat="false" ht="15" hidden="false" customHeight="false" outlineLevel="0" collapsed="false">
      <c r="H103" s="51" t="n">
        <v>303</v>
      </c>
      <c r="I103" s="52" t="n">
        <f aca="false">COS(H103*PI()/180)</f>
        <v>0.544639035015027</v>
      </c>
      <c r="J103" s="52" t="n">
        <f aca="false">SIN(H103*PI()/180)</f>
        <v>-0.838670567945424</v>
      </c>
    </row>
    <row r="104" customFormat="false" ht="15" hidden="false" customHeight="false" outlineLevel="0" collapsed="false">
      <c r="H104" s="51" t="n">
        <v>306</v>
      </c>
      <c r="I104" s="52" t="n">
        <f aca="false">COS(H104*PI()/180)</f>
        <v>0.587785252292473</v>
      </c>
      <c r="J104" s="52" t="n">
        <f aca="false">SIN(H104*PI()/180)</f>
        <v>-0.809016994374947</v>
      </c>
    </row>
    <row r="105" customFormat="false" ht="15" hidden="false" customHeight="false" outlineLevel="0" collapsed="false">
      <c r="H105" s="51" t="n">
        <v>309</v>
      </c>
      <c r="I105" s="52" t="n">
        <f aca="false">COS(H105*PI()/180)</f>
        <v>0.629320391049837</v>
      </c>
      <c r="J105" s="52" t="n">
        <f aca="false">SIN(H105*PI()/180)</f>
        <v>-0.777145961456971</v>
      </c>
    </row>
    <row r="106" customFormat="false" ht="15" hidden="false" customHeight="false" outlineLevel="0" collapsed="false">
      <c r="H106" s="51" t="n">
        <v>312</v>
      </c>
      <c r="I106" s="52" t="n">
        <f aca="false">COS(H106*PI()/180)</f>
        <v>0.669130606358858</v>
      </c>
      <c r="J106" s="52" t="n">
        <f aca="false">SIN(H106*PI()/180)</f>
        <v>-0.743144825477395</v>
      </c>
    </row>
    <row r="107" customFormat="false" ht="15" hidden="false" customHeight="false" outlineLevel="0" collapsed="false">
      <c r="H107" s="51" t="n">
        <v>315</v>
      </c>
      <c r="I107" s="52" t="n">
        <f aca="false">COS(H107*PI()/180)</f>
        <v>0.707106781186547</v>
      </c>
      <c r="J107" s="52" t="n">
        <f aca="false">SIN(H107*PI()/180)</f>
        <v>-0.707106781186548</v>
      </c>
    </row>
    <row r="108" customFormat="false" ht="15" hidden="false" customHeight="false" outlineLevel="0" collapsed="false">
      <c r="H108" s="51" t="n">
        <v>318</v>
      </c>
      <c r="I108" s="52" t="n">
        <f aca="false">COS(H108*PI()/180)</f>
        <v>0.743144825477394</v>
      </c>
      <c r="J108" s="52" t="n">
        <f aca="false">SIN(H108*PI()/180)</f>
        <v>-0.669130606358858</v>
      </c>
    </row>
    <row r="109" customFormat="false" ht="15" hidden="false" customHeight="false" outlineLevel="0" collapsed="false">
      <c r="H109" s="51" t="n">
        <v>321</v>
      </c>
      <c r="I109" s="52" t="n">
        <f aca="false">COS(H109*PI()/180)</f>
        <v>0.777145961456971</v>
      </c>
      <c r="J109" s="52" t="n">
        <f aca="false">SIN(H109*PI()/180)</f>
        <v>-0.629320391049838</v>
      </c>
    </row>
    <row r="110" customFormat="false" ht="15" hidden="false" customHeight="false" outlineLevel="0" collapsed="false">
      <c r="H110" s="51" t="n">
        <v>324</v>
      </c>
      <c r="I110" s="52" t="n">
        <f aca="false">COS(H110*PI()/180)</f>
        <v>0.809016994374947</v>
      </c>
      <c r="J110" s="52" t="n">
        <f aca="false">SIN(H110*PI()/180)</f>
        <v>-0.587785252292473</v>
      </c>
    </row>
    <row r="111" customFormat="false" ht="15" hidden="false" customHeight="false" outlineLevel="0" collapsed="false">
      <c r="H111" s="51" t="n">
        <v>327</v>
      </c>
      <c r="I111" s="52" t="n">
        <f aca="false">COS(H111*PI()/180)</f>
        <v>0.838670567945424</v>
      </c>
      <c r="J111" s="52" t="n">
        <f aca="false">SIN(H111*PI()/180)</f>
        <v>-0.544639035015027</v>
      </c>
    </row>
    <row r="112" customFormat="false" ht="15" hidden="false" customHeight="false" outlineLevel="0" collapsed="false">
      <c r="H112" s="51" t="n">
        <v>330</v>
      </c>
      <c r="I112" s="52" t="n">
        <f aca="false">COS(H112*PI()/180)</f>
        <v>0.866025403784438</v>
      </c>
      <c r="J112" s="52" t="n">
        <f aca="false">SIN(H112*PI()/180)</f>
        <v>-0.500000000000001</v>
      </c>
    </row>
    <row r="113" customFormat="false" ht="15" hidden="false" customHeight="false" outlineLevel="0" collapsed="false">
      <c r="H113" s="51" t="n">
        <v>333</v>
      </c>
      <c r="I113" s="52" t="n">
        <f aca="false">COS(H113*PI()/180)</f>
        <v>0.891006524188368</v>
      </c>
      <c r="J113" s="52" t="n">
        <f aca="false">SIN(H113*PI()/180)</f>
        <v>-0.453990499739547</v>
      </c>
    </row>
    <row r="114" customFormat="false" ht="15" hidden="false" customHeight="false" outlineLevel="0" collapsed="false">
      <c r="H114" s="51" t="n">
        <v>336</v>
      </c>
      <c r="I114" s="52" t="n">
        <f aca="false">COS(H114*PI()/180)</f>
        <v>0.913545457642601</v>
      </c>
      <c r="J114" s="52" t="n">
        <f aca="false">SIN(H114*PI()/180)</f>
        <v>-0.4067366430758</v>
      </c>
    </row>
    <row r="115" customFormat="false" ht="15" hidden="false" customHeight="false" outlineLevel="0" collapsed="false">
      <c r="H115" s="51" t="n">
        <v>339</v>
      </c>
      <c r="I115" s="52" t="n">
        <f aca="false">COS(H115*PI()/180)</f>
        <v>0.933580426497202</v>
      </c>
      <c r="J115" s="52" t="n">
        <f aca="false">SIN(H115*PI()/180)</f>
        <v>-0.358367949545301</v>
      </c>
    </row>
    <row r="116" customFormat="false" ht="15" hidden="false" customHeight="false" outlineLevel="0" collapsed="false">
      <c r="H116" s="51" t="n">
        <v>342</v>
      </c>
      <c r="I116" s="52" t="n">
        <f aca="false">COS(H116*PI()/180)</f>
        <v>0.951056516295154</v>
      </c>
      <c r="J116" s="52" t="n">
        <f aca="false">SIN(H116*PI()/180)</f>
        <v>-0.309016994374948</v>
      </c>
    </row>
    <row r="117" customFormat="false" ht="15" hidden="false" customHeight="false" outlineLevel="0" collapsed="false">
      <c r="H117" s="51" t="n">
        <v>345</v>
      </c>
      <c r="I117" s="52" t="n">
        <f aca="false">COS(H117*PI()/180)</f>
        <v>0.965925826289069</v>
      </c>
      <c r="J117" s="52" t="n">
        <f aca="false">SIN(H117*PI()/180)</f>
        <v>-0.258819045102521</v>
      </c>
    </row>
    <row r="118" customFormat="false" ht="15" hidden="false" customHeight="false" outlineLevel="0" collapsed="false">
      <c r="H118" s="51" t="n">
        <v>348</v>
      </c>
      <c r="I118" s="52" t="n">
        <f aca="false">COS(H118*PI()/180)</f>
        <v>0.978147600733806</v>
      </c>
      <c r="J118" s="52" t="n">
        <f aca="false">SIN(H118*PI()/180)</f>
        <v>-0.20791169081776</v>
      </c>
    </row>
    <row r="119" customFormat="false" ht="15" hidden="false" customHeight="false" outlineLevel="0" collapsed="false">
      <c r="H119" s="51" t="n">
        <v>351</v>
      </c>
      <c r="I119" s="52" t="n">
        <f aca="false">COS(H119*PI()/180)</f>
        <v>0.987688340595138</v>
      </c>
      <c r="J119" s="52" t="n">
        <f aca="false">SIN(H119*PI()/180)</f>
        <v>-0.156434465040231</v>
      </c>
    </row>
    <row r="120" customFormat="false" ht="15" hidden="false" customHeight="false" outlineLevel="0" collapsed="false">
      <c r="H120" s="51" t="n">
        <v>354</v>
      </c>
      <c r="I120" s="52" t="n">
        <f aca="false">COS(H120*PI()/180)</f>
        <v>0.994521895368274</v>
      </c>
      <c r="J120" s="52" t="n">
        <f aca="false">SIN(H120*PI()/180)</f>
        <v>-0.104528463267653</v>
      </c>
    </row>
    <row r="121" customFormat="false" ht="15" hidden="false" customHeight="false" outlineLevel="0" collapsed="false">
      <c r="H121" s="51" t="n">
        <v>357</v>
      </c>
      <c r="I121" s="52" t="n">
        <f aca="false">COS(H121*PI()/180)</f>
        <v>0.998629534754574</v>
      </c>
      <c r="J121" s="52" t="n">
        <f aca="false">SIN(H121*PI()/180)</f>
        <v>-0.0523359562429444</v>
      </c>
    </row>
    <row r="122" customFormat="false" ht="15" hidden="false" customHeight="false" outlineLevel="0" collapsed="false">
      <c r="H122" s="51" t="n">
        <v>360</v>
      </c>
      <c r="I122" s="52" t="n">
        <f aca="false">COS(H122*PI()/180)</f>
        <v>1</v>
      </c>
      <c r="J122" s="52" t="n">
        <f aca="false">SIN(H122*PI()/180)</f>
        <v>-2.45029690981724E-016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LibreOffice/6.3.6.2$MacOSX_X86_64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2019-04-06T21:52:12Z</dcterms:created>
  <dc:creator/>
  <dc:description/>
  <dc:language>de-DE</dc:language>
  <cp:lastModifiedBy/>
  <dcterms:modified xsi:type="dcterms:W3CDTF">2020-06-21T23:46:12Z</dcterms:modified>
  <cp:revision>149</cp:revision>
  <dc:subject/>
  <dc:title/>
</cp:coreProperties>
</file>